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0" windowWidth="15180" windowHeight="9150" activeTab="0"/>
  </bookViews>
  <sheets>
    <sheet name="Explanation &amp; Instructions" sheetId="1" r:id="rId1"/>
    <sheet name="Feed Efficiency Near Market" sheetId="2" r:id="rId2"/>
    <sheet name="Few individual trials" sheetId="3" state="hidden" r:id="rId3"/>
    <sheet name="paylean vs not" sheetId="4" state="hidden" r:id="rId4"/>
    <sheet name="Lysine response" sheetId="5" state="hidden" r:id="rId5"/>
  </sheets>
  <definedNames>
    <definedName name="_xlnm.Print_Area" localSheetId="0">'Explanation &amp; Instructions'!$B$2:$D$13</definedName>
    <definedName name="_xlnm.Print_Area" localSheetId="1">'Feed Efficiency Near Market'!$A$1:$V$40</definedName>
  </definedNames>
  <calcPr fullCalcOnLoad="1"/>
</workbook>
</file>

<file path=xl/comments2.xml><?xml version="1.0" encoding="utf-8"?>
<comments xmlns="http://schemas.openxmlformats.org/spreadsheetml/2006/main">
  <authors>
    <author>mike</author>
  </authors>
  <commentList>
    <comment ref="C9" authorId="0">
      <text>
        <r>
          <rPr>
            <sz val="9"/>
            <rFont val="Tahoma"/>
            <family val="2"/>
          </rPr>
          <t xml:space="preserve">Entering data specific to the production system will adjust the incremental F/G.
</t>
        </r>
      </text>
    </comment>
    <comment ref="J4" authorId="0">
      <text>
        <r>
          <rPr>
            <sz val="9"/>
            <rFont val="Tahoma"/>
            <family val="2"/>
          </rPr>
          <t>If feeding diet with Paylean, the cost entered here should be for the diet before the Paylean diet. Otherwise, enter the cost of the last finisher diet.</t>
        </r>
      </text>
    </comment>
  </commentList>
</comments>
</file>

<file path=xl/sharedStrings.xml><?xml version="1.0" encoding="utf-8"?>
<sst xmlns="http://schemas.openxmlformats.org/spreadsheetml/2006/main" count="229" uniqueCount="86">
  <si>
    <t>Initial wt, lb</t>
  </si>
  <si>
    <t>Final wt, lb</t>
  </si>
  <si>
    <t>Feed/gain</t>
  </si>
  <si>
    <t>Cummulative feed, lb</t>
  </si>
  <si>
    <t>Cummulative feed from in wt, lb</t>
  </si>
  <si>
    <t>Incremental feed, lb</t>
  </si>
  <si>
    <t>Incremental F/G</t>
  </si>
  <si>
    <t>--</t>
  </si>
  <si>
    <t>Fat, %</t>
  </si>
  <si>
    <t>F/G</t>
  </si>
  <si>
    <t>lysine</t>
  </si>
  <si>
    <t>DDGS</t>
  </si>
  <si>
    <t>Lineen</t>
  </si>
  <si>
    <t>Bergstrom</t>
  </si>
  <si>
    <t>Optipak</t>
  </si>
  <si>
    <t>Paylean</t>
  </si>
  <si>
    <t>Neill</t>
  </si>
  <si>
    <t>Lysine</t>
  </si>
  <si>
    <t>Gottlob</t>
  </si>
  <si>
    <t>Mixed</t>
  </si>
  <si>
    <t>Gilts</t>
  </si>
  <si>
    <t>Fat x sort</t>
  </si>
  <si>
    <t>Hastad</t>
  </si>
  <si>
    <t>gilt/paylean</t>
  </si>
  <si>
    <t>Gilt</t>
  </si>
  <si>
    <t>Barrow</t>
  </si>
  <si>
    <t>Barrow/paylean</t>
  </si>
  <si>
    <t>Commercial</t>
  </si>
  <si>
    <t>Control</t>
  </si>
  <si>
    <t>Start wt</t>
  </si>
  <si>
    <t>End wt</t>
  </si>
  <si>
    <t>Who</t>
  </si>
  <si>
    <t>Trial</t>
  </si>
  <si>
    <t>0% fat F/G</t>
  </si>
  <si>
    <t>Avg wt</t>
  </si>
  <si>
    <t>Sex</t>
  </si>
  <si>
    <t>Facility cost, $/pig/day</t>
  </si>
  <si>
    <t>Finishing mortality, %</t>
  </si>
  <si>
    <t>Average days on feed</t>
  </si>
  <si>
    <t>Feed cost, $/cwt gain</t>
  </si>
  <si>
    <t>Mortality, $/cwt gain</t>
  </si>
  <si>
    <t>Marginal costs</t>
  </si>
  <si>
    <t xml:space="preserve">Lysine </t>
  </si>
  <si>
    <t>Shelton</t>
  </si>
  <si>
    <t>Deoiled DDGS</t>
  </si>
  <si>
    <t>Jacela</t>
  </si>
  <si>
    <t>PCV x lysine</t>
  </si>
  <si>
    <t>Barrows</t>
  </si>
  <si>
    <t>DDGS x enzyme</t>
  </si>
  <si>
    <t>DDGS x feeder</t>
  </si>
  <si>
    <t>NH</t>
  </si>
  <si>
    <t>Marketing</t>
  </si>
  <si>
    <t>Paylean step up</t>
  </si>
  <si>
    <t>F/G with Paylean adjustment</t>
  </si>
  <si>
    <t>Feed and mortality, $/cwt gain</t>
  </si>
  <si>
    <t>Feed, mortality, &amp; facilities, $/cwt gain</t>
  </si>
  <si>
    <t>Carcass weight, lb</t>
  </si>
  <si>
    <t>Feed efficiency and marginal cost near market weight</t>
  </si>
  <si>
    <t>Carcass value, $/lb</t>
  </si>
  <si>
    <t>Yield, %</t>
  </si>
  <si>
    <t>Live wt, lb</t>
  </si>
  <si>
    <t>Number of pigs</t>
  </si>
  <si>
    <t>Over feed cost</t>
  </si>
  <si>
    <t>Over feed and mortality cost</t>
  </si>
  <si>
    <t>Over feed, mortality, &amp; facilities cost</t>
  </si>
  <si>
    <t>Finishing closeout data</t>
  </si>
  <si>
    <t>Finisher ADG, lb</t>
  </si>
  <si>
    <t>Cumulative loss, $/group*</t>
  </si>
  <si>
    <t>*Does not consider packer discounts</t>
  </si>
  <si>
    <t>For demonstration purposes only</t>
  </si>
  <si>
    <t>Any cells with red font indicates that marginal cost</t>
  </si>
  <si>
    <t>exceeds market price at that weight</t>
  </si>
  <si>
    <t>Cost of late finisher diet, $/ton</t>
  </si>
  <si>
    <t>To get started, click on the "Feed Efficiency Near Market" tab at the bottom of this page</t>
  </si>
  <si>
    <t>Instructions:</t>
  </si>
  <si>
    <t>Explanation:</t>
  </si>
  <si>
    <t>Authorship:</t>
  </si>
  <si>
    <t>In the center of the lower portion is where the marginal returns are reported for each five pound increase in live weight.  Numbers which appear in black indicate a marginal cost below the market price at that weight while numbers that appear in red indicate a marginal cost above the carcass price at that weight.</t>
  </si>
  <si>
    <t>The right side of the lower portion reports the cumulative loss for the entire group.  If you interpret this data to mean your pigs should be marketed at an alternative weight, you may want to use the "Market Weight Predictor" spreadsheet to help you estimate the ramifications of this decision.</t>
  </si>
  <si>
    <t xml:space="preserve">The bottom portion of the spreadsheet is where the output occurs.  You will note that the second column on the left contains increasing live weights in 5 pound increments.  </t>
  </si>
  <si>
    <t>Familiarize yourself with the various heading columns and note that the spreadsheet is divided between a top portion and a bottom portion.</t>
  </si>
  <si>
    <t>This spreadsheet allows producers to enter data unique to their operations and to determine the marginal return they can expect from feeding pigs to different weights.  This spreadsheet is for demonstration purposes only so caution should be taken when interpreting the outcome.</t>
  </si>
  <si>
    <t>The authors of this spreadsheet are the swine nutrition faculty at Kansas State University.  Visit their web site for other decision-making tools which you may find useful. http://www.KSUswine.org</t>
  </si>
  <si>
    <t>The area at the top of the spreadsheet contains different production measures.  In this area you can enter data specific to your farm by simply clicking on a yellow cell and then entering your data.  You may want to start by entering the closeout data from recent groups of pigs. Then move to the center portion to enter data related to feed cost, average daily gain, mortality, etc.  If you do not know a particular measure for your farm, leave it set to the default value, but realize the more information that you can provide, the better suited to your farm the output will be.</t>
  </si>
  <si>
    <t>Changing certain values such as final weight and diet cost will allow you to explore certain "what if" scenarios while keeping all else constant.</t>
  </si>
  <si>
    <t>Also in this area, you will note that there are small red triangles located in the top right hand corner of certain cells.  By holding your cursor over these, you can see additional comments that may be beneficial.</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</si>
</sst>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00"/>
    <numFmt numFmtId="166" formatCode="_(* #,##0.0_);_(* \(#,##0.0\);_(* &quot;-&quot;??_);_(@_)"/>
    <numFmt numFmtId="167" formatCode="0.0"/>
    <numFmt numFmtId="168" formatCode="_(* #,##0_);_(* \(#,##0\);_(* &quot;-&quot;??_);_(@_)"/>
    <numFmt numFmtId="169" formatCode="0.000"/>
    <numFmt numFmtId="170" formatCode="0.0000"/>
    <numFmt numFmtId="171" formatCode="0.00000"/>
    <numFmt numFmtId="172" formatCode="0.000000"/>
    <numFmt numFmtId="173" formatCode="0.0000000"/>
    <numFmt numFmtId="174" formatCode="0.00000000"/>
    <numFmt numFmtId="175" formatCode="0.000000000"/>
    <numFmt numFmtId="176" formatCode="0.0000000000"/>
    <numFmt numFmtId="177" formatCode="0.00000000000"/>
    <numFmt numFmtId="178" formatCode="0.000000000000"/>
    <numFmt numFmtId="179" formatCode="&quot;$&quot;#,##0.0_);\(&quot;$&quot;#,##0.0\)"/>
    <numFmt numFmtId="180" formatCode="&quot;$&quot;#,##0.0"/>
    <numFmt numFmtId="181" formatCode="&quot;$&quot;#,##0"/>
    <numFmt numFmtId="182" formatCode="&quot;$&quot;#,##0.000_);\(&quot;$&quot;#,##0.000\)"/>
    <numFmt numFmtId="183" formatCode="_(&quot;$&quot;* #,##0.0000_);_(&quot;$&quot;* \(#,##0.0000\);_(&quot;$&quot;* &quot;-&quot;????_);_(@_)"/>
    <numFmt numFmtId="184" formatCode="0.0%"/>
    <numFmt numFmtId="185" formatCode="&quot;$&quot;#,##0.000_);[Red]\(&quot;$&quot;#,##0.000\)"/>
    <numFmt numFmtId="186" formatCode="0.000%"/>
    <numFmt numFmtId="187" formatCode="_(* #,##0.0_);_(* \(#,##0.0\);_(* &quot;-&quot;?_);_(@_)"/>
    <numFmt numFmtId="188" formatCode="_(* #,##0.000_);_(* \(#,##0.000\);_(* &quot;-&quot;???_);_(@_)"/>
    <numFmt numFmtId="189" formatCode="[$-409]h:mm:ss\ AM/PM"/>
  </numFmts>
  <fonts count="30">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0"/>
      <name val="Arial"/>
      <family val="2"/>
    </font>
    <font>
      <b/>
      <sz val="12"/>
      <name val="Arial"/>
      <family val="2"/>
    </font>
    <font>
      <sz val="9"/>
      <name val="Tahoma"/>
      <family val="2"/>
    </font>
    <font>
      <sz val="10"/>
      <color indexed="8"/>
      <name val="Arial"/>
      <family val="2"/>
    </font>
    <font>
      <sz val="11"/>
      <color indexed="8"/>
      <name val="Arial"/>
      <family val="2"/>
    </font>
    <font>
      <vertAlign val="superscript"/>
      <sz val="10"/>
      <color indexed="8"/>
      <name val="Arial"/>
      <family val="2"/>
    </font>
    <font>
      <sz val="10"/>
      <color indexed="10"/>
      <name val="Arial"/>
      <family val="2"/>
    </font>
    <font>
      <sz val="10"/>
      <color rgb="FFFF0000"/>
      <name val="Arial"/>
      <family val="2"/>
    </font>
    <font>
      <b/>
      <sz val="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7"/>
        <bgColor indexed="64"/>
      </patternFill>
    </fill>
    <fill>
      <patternFill patternType="solid">
        <fgColor theme="0"/>
        <bgColor indexed="64"/>
      </patternFill>
    </fill>
    <fill>
      <patternFill patternType="solid">
        <fgColor rgb="FF7030A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5">
    <xf numFmtId="0" fontId="0" fillId="0" borderId="0" xfId="0" applyAlignment="1">
      <alignment/>
    </xf>
    <xf numFmtId="0" fontId="15" fillId="0" borderId="0" xfId="57">
      <alignment/>
      <protection/>
    </xf>
    <xf numFmtId="0" fontId="21" fillId="0" borderId="0" xfId="57" applyFont="1">
      <alignment/>
      <protection/>
    </xf>
    <xf numFmtId="0" fontId="15" fillId="22" borderId="10" xfId="57" applyFont="1" applyFill="1" applyBorder="1" applyAlignment="1" applyProtection="1">
      <alignment horizontal="center"/>
      <protection locked="0"/>
    </xf>
    <xf numFmtId="167" fontId="15" fillId="0" borderId="0" xfId="57" applyNumberFormat="1" applyFont="1">
      <alignment/>
      <protection/>
    </xf>
    <xf numFmtId="0" fontId="15" fillId="0" borderId="0" xfId="57" applyAlignment="1" quotePrefix="1">
      <alignment horizontal="center"/>
      <protection/>
    </xf>
    <xf numFmtId="167" fontId="15" fillId="0" borderId="0" xfId="57" applyNumberFormat="1">
      <alignment/>
      <protection/>
    </xf>
    <xf numFmtId="2" fontId="15" fillId="0" borderId="0" xfId="57" applyNumberFormat="1" applyAlignment="1">
      <alignment horizontal="center"/>
      <protection/>
    </xf>
    <xf numFmtId="2" fontId="15" fillId="0" borderId="0" xfId="57" applyNumberFormat="1">
      <alignment/>
      <protection/>
    </xf>
    <xf numFmtId="0" fontId="15" fillId="0" borderId="0" xfId="57" applyFont="1">
      <alignment/>
      <protection/>
    </xf>
    <xf numFmtId="1" fontId="15" fillId="0" borderId="0" xfId="57" applyNumberFormat="1">
      <alignment/>
      <protection/>
    </xf>
    <xf numFmtId="0" fontId="15" fillId="22" borderId="11" xfId="57" applyFont="1" applyFill="1" applyBorder="1" applyAlignment="1">
      <alignment horizontal="center" wrapText="1"/>
      <protection/>
    </xf>
    <xf numFmtId="2" fontId="15" fillId="22" borderId="0" xfId="57" applyNumberFormat="1" applyFill="1">
      <alignment/>
      <protection/>
    </xf>
    <xf numFmtId="0" fontId="15" fillId="22" borderId="0" xfId="57" applyFont="1" applyFill="1">
      <alignment/>
      <protection/>
    </xf>
    <xf numFmtId="1" fontId="15" fillId="22" borderId="0" xfId="57" applyNumberFormat="1" applyFill="1">
      <alignment/>
      <protection/>
    </xf>
    <xf numFmtId="44" fontId="15" fillId="0" borderId="0" xfId="57" applyNumberFormat="1" applyFont="1" applyFill="1">
      <alignment/>
      <protection/>
    </xf>
    <xf numFmtId="2" fontId="15" fillId="22" borderId="10" xfId="57" applyNumberFormat="1" applyFont="1" applyFill="1" applyBorder="1" applyAlignment="1" applyProtection="1">
      <alignment horizontal="center"/>
      <protection locked="0"/>
    </xf>
    <xf numFmtId="186" fontId="15" fillId="0" borderId="0" xfId="60" applyNumberFormat="1" applyFont="1" applyAlignment="1">
      <alignment/>
    </xf>
    <xf numFmtId="2" fontId="15" fillId="0" borderId="0" xfId="57" applyNumberFormat="1" applyAlignment="1">
      <alignment horizontal="right"/>
      <protection/>
    </xf>
    <xf numFmtId="8" fontId="15" fillId="0" borderId="0" xfId="57" applyNumberFormat="1" applyFont="1" applyAlignment="1">
      <alignment horizontal="center"/>
      <protection/>
    </xf>
    <xf numFmtId="0" fontId="15" fillId="0" borderId="11" xfId="57" applyBorder="1" applyAlignment="1">
      <alignment horizontal="centerContinuous"/>
      <protection/>
    </xf>
    <xf numFmtId="0" fontId="15" fillId="0" borderId="11" xfId="57" applyFont="1" applyBorder="1" applyAlignment="1">
      <alignment horizontal="centerContinuous"/>
      <protection/>
    </xf>
    <xf numFmtId="0" fontId="15" fillId="0" borderId="0" xfId="57" applyFill="1">
      <alignment/>
      <protection/>
    </xf>
    <xf numFmtId="0" fontId="15" fillId="0" borderId="0" xfId="57" applyFont="1" applyFill="1">
      <alignment/>
      <protection/>
    </xf>
    <xf numFmtId="2" fontId="0" fillId="0" borderId="0" xfId="0" applyNumberFormat="1" applyAlignment="1">
      <alignment/>
    </xf>
    <xf numFmtId="184" fontId="15" fillId="0" borderId="0" xfId="60" applyNumberFormat="1" applyFont="1" applyBorder="1" applyAlignment="1">
      <alignment/>
    </xf>
    <xf numFmtId="0" fontId="15" fillId="24" borderId="0" xfId="57" applyFill="1">
      <alignment/>
      <protection/>
    </xf>
    <xf numFmtId="0" fontId="15" fillId="25" borderId="12" xfId="57" applyFill="1" applyBorder="1">
      <alignment/>
      <protection/>
    </xf>
    <xf numFmtId="0" fontId="15" fillId="25" borderId="13" xfId="57" applyFont="1" applyFill="1" applyBorder="1" applyAlignment="1">
      <alignment horizontal="right"/>
      <protection/>
    </xf>
    <xf numFmtId="0" fontId="15" fillId="25" borderId="14" xfId="57" applyFill="1" applyBorder="1">
      <alignment/>
      <protection/>
    </xf>
    <xf numFmtId="0" fontId="15" fillId="25" borderId="15" xfId="57" applyFont="1" applyFill="1" applyBorder="1" applyAlignment="1">
      <alignment horizontal="right"/>
      <protection/>
    </xf>
    <xf numFmtId="0" fontId="15" fillId="25" borderId="16" xfId="57" applyFill="1" applyBorder="1">
      <alignment/>
      <protection/>
    </xf>
    <xf numFmtId="0" fontId="15" fillId="25" borderId="17" xfId="57" applyFont="1" applyFill="1" applyBorder="1" applyAlignment="1">
      <alignment horizontal="right"/>
      <protection/>
    </xf>
    <xf numFmtId="0" fontId="15" fillId="0" borderId="18" xfId="57" applyBorder="1">
      <alignment/>
      <protection/>
    </xf>
    <xf numFmtId="0" fontId="15" fillId="0" borderId="19" xfId="57" applyBorder="1">
      <alignment/>
      <protection/>
    </xf>
    <xf numFmtId="0" fontId="15" fillId="0" borderId="10" xfId="57" applyBorder="1">
      <alignment/>
      <protection/>
    </xf>
    <xf numFmtId="0" fontId="21" fillId="0" borderId="11" xfId="57" applyFont="1" applyBorder="1" applyAlignment="1">
      <alignment horizontal="center" wrapText="1"/>
      <protection/>
    </xf>
    <xf numFmtId="2" fontId="21" fillId="0" borderId="11" xfId="57" applyNumberFormat="1" applyFont="1" applyBorder="1" applyAlignment="1">
      <alignment horizontal="center" wrapText="1"/>
      <protection/>
    </xf>
    <xf numFmtId="167" fontId="15" fillId="0" borderId="0" xfId="57" applyNumberFormat="1" applyFont="1" applyAlignment="1">
      <alignment horizontal="center"/>
      <protection/>
    </xf>
    <xf numFmtId="0" fontId="22" fillId="25" borderId="0" xfId="57" applyFont="1" applyFill="1" applyAlignment="1">
      <alignment vertical="center"/>
      <protection/>
    </xf>
    <xf numFmtId="0" fontId="22" fillId="25" borderId="0" xfId="57" applyFont="1" applyFill="1" applyAlignment="1">
      <alignment horizontal="center" vertical="center"/>
      <protection/>
    </xf>
    <xf numFmtId="0" fontId="15" fillId="25" borderId="0" xfId="57" applyFill="1" applyAlignment="1">
      <alignment vertical="center"/>
      <protection/>
    </xf>
    <xf numFmtId="165" fontId="15" fillId="22" borderId="10" xfId="44" applyNumberFormat="1" applyFont="1" applyFill="1" applyBorder="1" applyAlignment="1" applyProtection="1">
      <alignment horizontal="center"/>
      <protection locked="0"/>
    </xf>
    <xf numFmtId="2" fontId="15" fillId="22" borderId="10" xfId="57" applyNumberFormat="1" applyFont="1" applyFill="1" applyBorder="1" applyAlignment="1" applyProtection="1">
      <alignment horizontal="center"/>
      <protection locked="0"/>
    </xf>
    <xf numFmtId="184" fontId="15" fillId="22" borderId="10" xfId="60" applyNumberFormat="1" applyFont="1" applyFill="1" applyBorder="1" applyAlignment="1" applyProtection="1">
      <alignment horizontal="center"/>
      <protection locked="0"/>
    </xf>
    <xf numFmtId="1" fontId="15" fillId="22" borderId="10" xfId="42" applyNumberFormat="1" applyFont="1" applyFill="1" applyBorder="1" applyAlignment="1" applyProtection="1">
      <alignment horizontal="center"/>
      <protection locked="0"/>
    </xf>
    <xf numFmtId="167" fontId="15" fillId="0" borderId="0" xfId="57" applyNumberFormat="1" applyFill="1" applyBorder="1" applyAlignment="1">
      <alignment horizontal="center"/>
      <protection/>
    </xf>
    <xf numFmtId="0" fontId="15" fillId="0" borderId="0" xfId="57" applyFont="1" applyFill="1" applyBorder="1" applyAlignment="1" applyProtection="1">
      <alignment horizontal="center"/>
      <protection/>
    </xf>
    <xf numFmtId="0" fontId="21" fillId="0" borderId="11" xfId="57" applyFont="1" applyBorder="1" applyAlignment="1">
      <alignment wrapText="1"/>
      <protection/>
    </xf>
    <xf numFmtId="185" fontId="15" fillId="0" borderId="0" xfId="57" applyNumberFormat="1">
      <alignment/>
      <protection/>
    </xf>
    <xf numFmtId="0" fontId="15" fillId="0" borderId="12" xfId="57" applyBorder="1">
      <alignment/>
      <protection/>
    </xf>
    <xf numFmtId="1" fontId="15" fillId="22" borderId="10" xfId="60" applyNumberFormat="1" applyFont="1" applyFill="1" applyBorder="1" applyAlignment="1" applyProtection="1">
      <alignment horizontal="center"/>
      <protection locked="0"/>
    </xf>
    <xf numFmtId="0" fontId="15" fillId="0" borderId="11" xfId="57" applyBorder="1">
      <alignment/>
      <protection/>
    </xf>
    <xf numFmtId="8" fontId="21" fillId="0" borderId="11" xfId="57" applyNumberFormat="1" applyFont="1" applyBorder="1" applyAlignment="1">
      <alignment horizontal="centerContinuous"/>
      <protection/>
    </xf>
    <xf numFmtId="0" fontId="28" fillId="0" borderId="0" xfId="57" applyFont="1" applyAlignment="1">
      <alignment horizontal="center"/>
      <protection/>
    </xf>
    <xf numFmtId="181" fontId="28" fillId="0" borderId="0" xfId="57" applyNumberFormat="1" applyFont="1" applyAlignment="1">
      <alignment horizontal="center"/>
      <protection/>
    </xf>
    <xf numFmtId="0" fontId="15" fillId="0" borderId="12" xfId="57" applyFill="1" applyBorder="1">
      <alignment/>
      <protection/>
    </xf>
    <xf numFmtId="0" fontId="15" fillId="0" borderId="13" xfId="57" applyFont="1" applyFill="1" applyBorder="1" applyAlignment="1">
      <alignment horizontal="right"/>
      <protection/>
    </xf>
    <xf numFmtId="165" fontId="15" fillId="22" borderId="13" xfId="44" applyNumberFormat="1" applyFont="1" applyFill="1" applyBorder="1" applyAlignment="1" applyProtection="1">
      <alignment horizontal="center"/>
      <protection locked="0"/>
    </xf>
    <xf numFmtId="0" fontId="15" fillId="0" borderId="20" xfId="57" applyFill="1" applyBorder="1">
      <alignment/>
      <protection/>
    </xf>
    <xf numFmtId="0" fontId="15" fillId="0" borderId="11" xfId="57" applyFont="1" applyBorder="1" applyAlignment="1">
      <alignment horizontal="center"/>
      <protection/>
    </xf>
    <xf numFmtId="0" fontId="15" fillId="0" borderId="0" xfId="57" applyBorder="1">
      <alignment/>
      <protection/>
    </xf>
    <xf numFmtId="0" fontId="21" fillId="0" borderId="0" xfId="57" applyFont="1" applyBorder="1" applyAlignment="1">
      <alignment horizontal="center"/>
      <protection/>
    </xf>
    <xf numFmtId="0" fontId="15" fillId="25" borderId="0" xfId="57" applyFill="1">
      <alignment/>
      <protection/>
    </xf>
    <xf numFmtId="0" fontId="0" fillId="0" borderId="0" xfId="0" applyAlignment="1">
      <alignment wrapText="1"/>
    </xf>
    <xf numFmtId="0" fontId="0" fillId="0" borderId="0" xfId="0" applyAlignment="1">
      <alignment horizontal="left"/>
    </xf>
    <xf numFmtId="0" fontId="0" fillId="26" borderId="0" xfId="0" applyFill="1" applyAlignment="1">
      <alignment/>
    </xf>
    <xf numFmtId="0" fontId="0" fillId="26" borderId="0" xfId="0" applyFill="1" applyAlignment="1">
      <alignment horizontal="left"/>
    </xf>
    <xf numFmtId="0" fontId="0" fillId="26" borderId="0" xfId="0" applyFill="1" applyAlignment="1">
      <alignment wrapText="1"/>
    </xf>
    <xf numFmtId="0" fontId="0" fillId="25" borderId="0" xfId="0" applyFill="1" applyAlignment="1">
      <alignment horizontal="left" vertical="top"/>
    </xf>
    <xf numFmtId="0" fontId="0" fillId="25" borderId="0" xfId="0" applyFill="1" applyAlignment="1">
      <alignment horizontal="center" vertical="top"/>
    </xf>
    <xf numFmtId="0" fontId="0" fillId="25" borderId="0" xfId="0" applyFill="1" applyAlignment="1">
      <alignment vertical="top" wrapText="1"/>
    </xf>
    <xf numFmtId="0" fontId="0" fillId="25" borderId="0" xfId="0" applyFill="1" applyAlignment="1">
      <alignment horizontal="left"/>
    </xf>
    <xf numFmtId="0" fontId="0" fillId="25" borderId="0" xfId="0" applyFill="1" applyAlignment="1">
      <alignment wrapText="1"/>
    </xf>
    <xf numFmtId="0" fontId="0" fillId="25" borderId="0" xfId="0"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eed budget incremental feed efficiency at increasing weight" xfId="57"/>
    <cellStyle name="Note" xfId="58"/>
    <cellStyle name="Output" xfId="59"/>
    <cellStyle name="Percent" xfId="60"/>
    <cellStyle name="Title" xfId="61"/>
    <cellStyle name="Total" xfId="62"/>
    <cellStyle name="Warning Text" xfId="63"/>
  </cellStyles>
  <dxfs count="4">
    <dxf>
      <font>
        <color rgb="FF7030A0"/>
      </font>
      <fill>
        <patternFill>
          <bgColor rgb="FF7030A0"/>
        </patternFill>
      </fill>
    </dxf>
    <dxf>
      <font>
        <color rgb="FFFF0000"/>
      </font>
      <fill>
        <patternFill>
          <bgColor rgb="FFCCECFF"/>
        </patternFill>
      </fill>
    </dxf>
    <dxf>
      <font>
        <color rgb="FFFF0000"/>
      </font>
      <fill>
        <patternFill>
          <bgColor rgb="FFCCECFF"/>
        </patternFill>
      </fill>
      <border/>
    </dxf>
    <dxf>
      <font>
        <color rgb="FF7030A0"/>
      </font>
      <fill>
        <patternFill>
          <bgColor rgb="FF7030A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4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03975"/>
          <c:y val="0.083"/>
          <c:w val="0.9565"/>
          <c:h val="0.883"/>
        </c:manualLayout>
      </c:layout>
      <c:scatterChart>
        <c:scatterStyle val="lineMarker"/>
        <c:varyColors val="0"/>
        <c:ser>
          <c:idx val="0"/>
          <c:order val="0"/>
          <c:tx>
            <c:strRef>
              <c:f>'Few individual trials'!$A$9</c:f>
              <c:strCache>
                <c:ptCount val="1"/>
                <c:pt idx="0">
                  <c:v>Avg wt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1"/>
            <c:dispRSqr val="1"/>
            <c:trendlineLbl>
              <c:layout>
                <c:manualLayout>
                  <c:x val="0"/>
                  <c:y val="0"/>
                </c:manualLayout>
              </c:layout>
              <c:txPr>
                <a:bodyPr vert="horz" rot="0" anchor="ctr"/>
                <a:lstStyle/>
                <a:p>
                  <a:pPr algn="ctr">
                    <a:defRPr lang="en-US" cap="none" sz="1000" b="0" i="0" u="none" baseline="0">
                      <a:solidFill>
                        <a:srgbClr val="000000"/>
                      </a:solidFill>
                    </a:defRPr>
                  </a:pPr>
                </a:p>
              </c:txPr>
              <c:numFmt formatCode="0.000000"/>
            </c:trendlineLbl>
          </c:trendline>
          <c:xVal>
            <c:numRef>
              <c:f>'Few individual trials'!$B$9:$V$9</c:f>
              <c:numCache/>
            </c:numRef>
          </c:xVal>
          <c:yVal>
            <c:numRef>
              <c:f>'Few individual trials'!$B$8:$V$8</c:f>
              <c:numCache/>
            </c:numRef>
          </c:yVal>
          <c:smooth val="0"/>
        </c:ser>
        <c:axId val="61055518"/>
        <c:axId val="12628751"/>
      </c:scatterChart>
      <c:valAx>
        <c:axId val="61055518"/>
        <c:scaling>
          <c:orientation val="minMax"/>
          <c:min val="200"/>
        </c:scaling>
        <c:axPos val="b"/>
        <c:title>
          <c:tx>
            <c:rich>
              <a:bodyPr vert="horz" rot="0" anchor="ctr"/>
              <a:lstStyle/>
              <a:p>
                <a:pPr algn="ctr">
                  <a:defRPr/>
                </a:pPr>
                <a:r>
                  <a:rPr lang="en-US" cap="none" sz="1100" b="0" i="0" u="none" baseline="0">
                    <a:solidFill>
                      <a:srgbClr val="000000"/>
                    </a:solidFill>
                  </a:rPr>
                  <a:t>Average weight, lb</a:t>
                </a:r>
              </a:p>
            </c:rich>
          </c:tx>
          <c:layout>
            <c:manualLayout>
              <c:xMode val="factor"/>
              <c:yMode val="factor"/>
              <c:x val="-0.007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defRPr>
            </a:pPr>
          </a:p>
        </c:txPr>
        <c:crossAx val="12628751"/>
        <c:crosses val="autoZero"/>
        <c:crossBetween val="midCat"/>
        <c:dispUnits/>
      </c:valAx>
      <c:valAx>
        <c:axId val="12628751"/>
        <c:scaling>
          <c:orientation val="minMax"/>
          <c:min val="2.5"/>
        </c:scaling>
        <c:axPos val="l"/>
        <c:title>
          <c:tx>
            <c:rich>
              <a:bodyPr vert="horz" rot="-5400000" anchor="ctr"/>
              <a:lstStyle/>
              <a:p>
                <a:pPr algn="ctr">
                  <a:defRPr/>
                </a:pPr>
                <a:r>
                  <a:rPr lang="en-US" cap="none" sz="1100" b="0" i="0" u="none" baseline="0">
                    <a:solidFill>
                      <a:srgbClr val="000000"/>
                    </a:solidFill>
                  </a:rPr>
                  <a:t>Feed efficiency</a:t>
                </a:r>
              </a:p>
            </c:rich>
          </c:tx>
          <c:layout>
            <c:manualLayout>
              <c:xMode val="factor"/>
              <c:yMode val="factor"/>
              <c:x val="-0.013"/>
              <c:y val="0"/>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defRPr>
            </a:pPr>
          </a:p>
        </c:txPr>
        <c:crossAx val="61055518"/>
        <c:crosses val="autoZero"/>
        <c:crossBetween val="midCat"/>
        <c:dispUnits/>
      </c:valAx>
      <c:spPr>
        <a:solidFill>
          <a:srgbClr val="C0C0C0"/>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F/G in late finisher </a:t>
            </a:r>
          </a:p>
        </c:rich>
      </c:tx>
      <c:layout>
        <c:manualLayout>
          <c:xMode val="factor"/>
          <c:yMode val="factor"/>
          <c:x val="0.05625"/>
          <c:y val="0"/>
        </c:manualLayout>
      </c:layout>
      <c:spPr>
        <a:noFill/>
        <a:ln w="3175">
          <a:noFill/>
        </a:ln>
      </c:spPr>
    </c:title>
    <c:plotArea>
      <c:layout>
        <c:manualLayout>
          <c:xMode val="edge"/>
          <c:yMode val="edge"/>
          <c:x val="0.03975"/>
          <c:y val="0.083"/>
          <c:w val="0.9565"/>
          <c:h val="0.883"/>
        </c:manualLayout>
      </c:layout>
      <c:scatterChart>
        <c:scatterStyle val="lineMarker"/>
        <c:varyColors val="0"/>
        <c:ser>
          <c:idx val="0"/>
          <c:order val="0"/>
          <c:tx>
            <c:strRef>
              <c:f>'Few individual trials'!$A$9</c:f>
              <c:strCache>
                <c:ptCount val="1"/>
                <c:pt idx="0">
                  <c:v>Avg wt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trendline>
            <c:spPr>
              <a:ln w="25400">
                <a:solidFill>
                  <a:srgbClr val="000000"/>
                </a:solidFill>
              </a:ln>
            </c:spPr>
            <c:trendlineType val="poly"/>
            <c:order val="2"/>
            <c:dispEq val="1"/>
            <c:dispRSqr val="1"/>
            <c:trendlineLbl>
              <c:layout>
                <c:manualLayout>
                  <c:x val="0"/>
                  <c:y val="0"/>
                </c:manualLayout>
              </c:layout>
              <c:txPr>
                <a:bodyPr vert="horz" rot="0" anchor="ctr"/>
                <a:lstStyle/>
                <a:p>
                  <a:pPr algn="ctr">
                    <a:defRPr lang="en-US" cap="none" sz="1000" b="0" i="0" u="none" baseline="0">
                      <a:solidFill>
                        <a:srgbClr val="000000"/>
                      </a:solidFill>
                    </a:defRPr>
                  </a:pPr>
                </a:p>
              </c:txPr>
              <c:numFmt formatCode="0.000000"/>
              <c:spPr>
                <a:noFill/>
                <a:ln w="3175">
                  <a:noFill/>
                </a:ln>
              </c:spPr>
            </c:trendlineLbl>
          </c:trendline>
          <c:xVal>
            <c:numRef>
              <c:f>'Few individual trials'!$B$9:$V$9</c:f>
              <c:numCache/>
            </c:numRef>
          </c:xVal>
          <c:yVal>
            <c:numRef>
              <c:f>'Few individual trials'!$B$13:$V$13</c:f>
              <c:numCache/>
            </c:numRef>
          </c:yVal>
          <c:smooth val="0"/>
        </c:ser>
        <c:axId val="46549896"/>
        <c:axId val="16295881"/>
      </c:scatterChart>
      <c:valAx>
        <c:axId val="46549896"/>
        <c:scaling>
          <c:orientation val="minMax"/>
          <c:min val="200"/>
        </c:scaling>
        <c:axPos val="b"/>
        <c:title>
          <c:tx>
            <c:rich>
              <a:bodyPr vert="horz" rot="0" anchor="ctr"/>
              <a:lstStyle/>
              <a:p>
                <a:pPr algn="ctr">
                  <a:defRPr/>
                </a:pPr>
                <a:r>
                  <a:rPr lang="en-US" cap="none" sz="1100" b="0" i="0" u="none" baseline="0">
                    <a:solidFill>
                      <a:srgbClr val="000000"/>
                    </a:solidFill>
                  </a:rPr>
                  <a:t>Average weight, lb</a:t>
                </a:r>
              </a:p>
            </c:rich>
          </c:tx>
          <c:layout>
            <c:manualLayout>
              <c:xMode val="factor"/>
              <c:yMode val="factor"/>
              <c:x val="-0.007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defRPr>
            </a:pPr>
          </a:p>
        </c:txPr>
        <c:crossAx val="16295881"/>
        <c:crosses val="autoZero"/>
        <c:crossBetween val="midCat"/>
        <c:dispUnits/>
      </c:valAx>
      <c:valAx>
        <c:axId val="16295881"/>
        <c:scaling>
          <c:orientation val="minMax"/>
          <c:min val="2.5"/>
        </c:scaling>
        <c:axPos val="l"/>
        <c:title>
          <c:tx>
            <c:rich>
              <a:bodyPr vert="horz" rot="-5400000" anchor="ctr"/>
              <a:lstStyle/>
              <a:p>
                <a:pPr algn="ctr">
                  <a:defRPr/>
                </a:pPr>
                <a:r>
                  <a:rPr lang="en-US" cap="none" sz="1100" b="0" i="0" u="none" baseline="0">
                    <a:solidFill>
                      <a:srgbClr val="000000"/>
                    </a:solidFill>
                  </a:rPr>
                  <a:t>Feed efficiency</a:t>
                </a:r>
              </a:p>
            </c:rich>
          </c:tx>
          <c:layout>
            <c:manualLayout>
              <c:xMode val="factor"/>
              <c:yMode val="factor"/>
              <c:x val="-0.013"/>
              <c:y val="0"/>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defRPr>
            </a:pPr>
          </a:p>
        </c:txPr>
        <c:crossAx val="46549896"/>
        <c:crosses val="autoZero"/>
        <c:crossBetween val="midCat"/>
        <c:dispUnits/>
      </c:valAx>
      <c:spPr>
        <a:no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F/G of late finishing pigs without Paylean (13 trials)</a:t>
            </a:r>
          </a:p>
        </c:rich>
      </c:tx>
      <c:layout>
        <c:manualLayout>
          <c:xMode val="factor"/>
          <c:yMode val="factor"/>
          <c:x val="0.079"/>
          <c:y val="0"/>
        </c:manualLayout>
      </c:layout>
      <c:spPr>
        <a:noFill/>
        <a:ln w="3175">
          <a:noFill/>
        </a:ln>
      </c:spPr>
    </c:title>
    <c:plotArea>
      <c:layout>
        <c:manualLayout>
          <c:xMode val="edge"/>
          <c:yMode val="edge"/>
          <c:x val="0.03975"/>
          <c:y val="0.083"/>
          <c:w val="0.9565"/>
          <c:h val="0.883"/>
        </c:manualLayout>
      </c:layout>
      <c:scatterChart>
        <c:scatterStyle val="lineMarker"/>
        <c:varyColors val="0"/>
        <c:ser>
          <c:idx val="0"/>
          <c:order val="0"/>
          <c:tx>
            <c:strRef>
              <c:f>'paylean vs not'!$A$9</c:f>
              <c:strCache>
                <c:ptCount val="1"/>
                <c:pt idx="0">
                  <c:v>Avg wt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000" b="0" i="0" u="none" baseline="0">
                      <a:solidFill>
                        <a:srgbClr val="000000"/>
                      </a:solidFill>
                    </a:defRPr>
                  </a:pPr>
                </a:p>
              </c:txPr>
              <c:numFmt formatCode="0.000000"/>
              <c:spPr>
                <a:noFill/>
                <a:ln w="3175">
                  <a:noFill/>
                </a:ln>
              </c:spPr>
            </c:trendlineLbl>
          </c:trendline>
          <c:xVal>
            <c:numRef>
              <c:f>'paylean vs not'!$B$9:$N$9</c:f>
              <c:numCache/>
            </c:numRef>
          </c:xVal>
          <c:yVal>
            <c:numRef>
              <c:f>'paylean vs not'!$B$8:$N$8</c:f>
              <c:numCache/>
            </c:numRef>
          </c:yVal>
          <c:smooth val="0"/>
        </c:ser>
        <c:axId val="12445202"/>
        <c:axId val="44897955"/>
      </c:scatterChart>
      <c:valAx>
        <c:axId val="12445202"/>
        <c:scaling>
          <c:orientation val="minMax"/>
          <c:min val="200"/>
        </c:scaling>
        <c:axPos val="b"/>
        <c:title>
          <c:tx>
            <c:rich>
              <a:bodyPr vert="horz" rot="0" anchor="ctr"/>
              <a:lstStyle/>
              <a:p>
                <a:pPr algn="ctr">
                  <a:defRPr/>
                </a:pPr>
                <a:r>
                  <a:rPr lang="en-US" cap="none" sz="1100" b="0" i="0" u="none" baseline="0">
                    <a:solidFill>
                      <a:srgbClr val="000000"/>
                    </a:solidFill>
                  </a:rPr>
                  <a:t>Average weight, lb</a:t>
                </a:r>
              </a:p>
            </c:rich>
          </c:tx>
          <c:layout>
            <c:manualLayout>
              <c:xMode val="factor"/>
              <c:yMode val="factor"/>
              <c:x val="-0.007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defRPr>
            </a:pPr>
          </a:p>
        </c:txPr>
        <c:crossAx val="44897955"/>
        <c:crosses val="autoZero"/>
        <c:crossBetween val="midCat"/>
        <c:dispUnits/>
      </c:valAx>
      <c:valAx>
        <c:axId val="44897955"/>
        <c:scaling>
          <c:orientation val="minMax"/>
          <c:min val="2.5"/>
        </c:scaling>
        <c:axPos val="l"/>
        <c:title>
          <c:tx>
            <c:rich>
              <a:bodyPr vert="horz" rot="-5400000" anchor="ctr"/>
              <a:lstStyle/>
              <a:p>
                <a:pPr algn="ctr">
                  <a:defRPr/>
                </a:pPr>
                <a:r>
                  <a:rPr lang="en-US" cap="none" sz="1100" b="0" i="0" u="none" baseline="0">
                    <a:solidFill>
                      <a:srgbClr val="000000"/>
                    </a:solidFill>
                  </a:rPr>
                  <a:t>Feed efficiency</a:t>
                </a:r>
              </a:p>
            </c:rich>
          </c:tx>
          <c:layout>
            <c:manualLayout>
              <c:xMode val="factor"/>
              <c:yMode val="factor"/>
              <c:x val="-0.013"/>
              <c:y val="0"/>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defRPr>
            </a:pPr>
          </a:p>
        </c:txPr>
        <c:crossAx val="12445202"/>
        <c:crosses val="autoZero"/>
        <c:crossBetween val="midCat"/>
        <c:dispUnits/>
      </c:valAx>
      <c:spPr>
        <a:solidFill>
          <a:srgbClr val="C0C0C0"/>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F/G of late finishing pigs with Paylean (8 trials)</a:t>
            </a:r>
          </a:p>
        </c:rich>
      </c:tx>
      <c:layout>
        <c:manualLayout>
          <c:xMode val="factor"/>
          <c:yMode val="factor"/>
          <c:x val="0.04775"/>
          <c:y val="0.00325"/>
        </c:manualLayout>
      </c:layout>
      <c:spPr>
        <a:noFill/>
        <a:ln w="3175">
          <a:noFill/>
        </a:ln>
      </c:spPr>
    </c:title>
    <c:plotArea>
      <c:layout>
        <c:manualLayout>
          <c:xMode val="edge"/>
          <c:yMode val="edge"/>
          <c:x val="0.03975"/>
          <c:y val="0.083"/>
          <c:w val="0.9565"/>
          <c:h val="0.883"/>
        </c:manualLayout>
      </c:layout>
      <c:scatterChart>
        <c:scatterStyle val="lineMarker"/>
        <c:varyColors val="0"/>
        <c:ser>
          <c:idx val="0"/>
          <c:order val="0"/>
          <c:tx>
            <c:strRef>
              <c:f>'paylean vs not'!$A$9</c:f>
              <c:strCache>
                <c:ptCount val="1"/>
                <c:pt idx="0">
                  <c:v>Avg wt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000" b="0" i="0" u="none" baseline="0">
                      <a:solidFill>
                        <a:srgbClr val="000000"/>
                      </a:solidFill>
                    </a:defRPr>
                  </a:pPr>
                </a:p>
              </c:txPr>
              <c:numFmt formatCode="0.000000"/>
              <c:spPr>
                <a:noFill/>
                <a:ln w="3175">
                  <a:noFill/>
                </a:ln>
              </c:spPr>
            </c:trendlineLbl>
          </c:trendline>
          <c:xVal>
            <c:numRef>
              <c:f>'paylean vs not'!$O$9:$V$9</c:f>
              <c:numCache/>
            </c:numRef>
          </c:xVal>
          <c:yVal>
            <c:numRef>
              <c:f>'paylean vs not'!$O$8:$V$8</c:f>
              <c:numCache/>
            </c:numRef>
          </c:yVal>
          <c:smooth val="0"/>
        </c:ser>
        <c:axId val="1428412"/>
        <c:axId val="12855709"/>
      </c:scatterChart>
      <c:valAx>
        <c:axId val="1428412"/>
        <c:scaling>
          <c:orientation val="minMax"/>
          <c:min val="200"/>
        </c:scaling>
        <c:axPos val="b"/>
        <c:title>
          <c:tx>
            <c:rich>
              <a:bodyPr vert="horz" rot="0" anchor="ctr"/>
              <a:lstStyle/>
              <a:p>
                <a:pPr algn="ctr">
                  <a:defRPr/>
                </a:pPr>
                <a:r>
                  <a:rPr lang="en-US" cap="none" sz="1100" b="0" i="0" u="none" baseline="0">
                    <a:solidFill>
                      <a:srgbClr val="000000"/>
                    </a:solidFill>
                  </a:rPr>
                  <a:t>Average weight, lb</a:t>
                </a:r>
              </a:p>
            </c:rich>
          </c:tx>
          <c:layout>
            <c:manualLayout>
              <c:xMode val="factor"/>
              <c:yMode val="factor"/>
              <c:x val="-0.007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defRPr>
            </a:pPr>
          </a:p>
        </c:txPr>
        <c:crossAx val="12855709"/>
        <c:crosses val="autoZero"/>
        <c:crossBetween val="midCat"/>
        <c:dispUnits/>
      </c:valAx>
      <c:valAx>
        <c:axId val="12855709"/>
        <c:scaling>
          <c:orientation val="minMax"/>
          <c:max val="3.7"/>
          <c:min val="2.5"/>
        </c:scaling>
        <c:axPos val="l"/>
        <c:title>
          <c:tx>
            <c:rich>
              <a:bodyPr vert="horz" rot="-5400000" anchor="ctr"/>
              <a:lstStyle/>
              <a:p>
                <a:pPr algn="ctr">
                  <a:defRPr/>
                </a:pPr>
                <a:r>
                  <a:rPr lang="en-US" cap="none" sz="1100" b="0" i="0" u="none" baseline="0">
                    <a:solidFill>
                      <a:srgbClr val="000000"/>
                    </a:solidFill>
                  </a:rPr>
                  <a:t>Feed efficiency</a:t>
                </a:r>
              </a:p>
            </c:rich>
          </c:tx>
          <c:layout>
            <c:manualLayout>
              <c:xMode val="factor"/>
              <c:yMode val="factor"/>
              <c:x val="-0.013"/>
              <c:y val="0"/>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defRPr>
            </a:pPr>
          </a:p>
        </c:txPr>
        <c:crossAx val="1428412"/>
        <c:crosses val="autoZero"/>
        <c:crossBetween val="midCat"/>
        <c:dispUnits/>
      </c:valAx>
      <c:spPr>
        <a:solidFill>
          <a:srgbClr val="C0C0C0"/>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152400</xdr:colOff>
      <xdr:row>1</xdr:row>
      <xdr:rowOff>47625</xdr:rowOff>
    </xdr:from>
    <xdr:to>
      <xdr:col>5</xdr:col>
      <xdr:colOff>1466850</xdr:colOff>
      <xdr:row>1</xdr:row>
      <xdr:rowOff>914400</xdr:rowOff>
    </xdr:to>
    <xdr:pic>
      <xdr:nvPicPr>
        <xdr:cNvPr id="1" name="Picture 2"/>
        <xdr:cNvPicPr preferRelativeResize="1">
          <a:picLocks noChangeAspect="1"/>
        </xdr:cNvPicPr>
      </xdr:nvPicPr>
      <xdr:blipFill>
        <a:blip r:embed="rId1"/>
        <a:stretch>
          <a:fillRect/>
        </a:stretch>
      </xdr:blipFill>
      <xdr:spPr>
        <a:xfrm>
          <a:off x="6677025" y="238125"/>
          <a:ext cx="131445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638175</xdr:colOff>
      <xdr:row>0</xdr:row>
      <xdr:rowOff>142875</xdr:rowOff>
    </xdr:from>
    <xdr:to>
      <xdr:col>21</xdr:col>
      <xdr:colOff>38100</xdr:colOff>
      <xdr:row>6</xdr:row>
      <xdr:rowOff>38100</xdr:rowOff>
    </xdr:to>
    <xdr:sp>
      <xdr:nvSpPr>
        <xdr:cNvPr id="1" name="Rectangular Callout 1"/>
        <xdr:cNvSpPr>
          <a:spLocks/>
        </xdr:cNvSpPr>
      </xdr:nvSpPr>
      <xdr:spPr>
        <a:xfrm>
          <a:off x="6248400" y="142875"/>
          <a:ext cx="2514600" cy="1009650"/>
        </a:xfrm>
        <a:prstGeom prst="wedgeRectCallout">
          <a:avLst>
            <a:gd name="adj1" fmla="val 46768"/>
            <a:gd name="adj2" fmla="val 142564"/>
          </a:avLst>
        </a:prstGeom>
        <a:solidFill>
          <a:srgbClr val="FFFFCC"/>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If this spreadsheet suggests</a:t>
          </a:r>
          <a:r>
            <a:rPr lang="en-US" cap="none" sz="1100" b="0" i="0" u="none" baseline="0">
              <a:solidFill>
                <a:srgbClr val="000000"/>
              </a:solidFill>
              <a:latin typeface="Calibri"/>
              <a:ea typeface="Calibri"/>
              <a:cs typeface="Calibri"/>
            </a:rPr>
            <a:t> that pigs be marketed below the packers optimal weight window, please refer to the "KSU Market Weight Predictor" under marketing tool at www.KSUswine.org. </a:t>
          </a:r>
        </a:p>
      </xdr:txBody>
    </xdr:sp>
    <xdr:clientData/>
  </xdr:twoCellAnchor>
  <xdr:twoCellAnchor editAs="oneCell">
    <xdr:from>
      <xdr:col>19</xdr:col>
      <xdr:colOff>47625</xdr:colOff>
      <xdr:row>34</xdr:row>
      <xdr:rowOff>47625</xdr:rowOff>
    </xdr:from>
    <xdr:to>
      <xdr:col>20</xdr:col>
      <xdr:colOff>647700</xdr:colOff>
      <xdr:row>38</xdr:row>
      <xdr:rowOff>95250</xdr:rowOff>
    </xdr:to>
    <xdr:pic>
      <xdr:nvPicPr>
        <xdr:cNvPr id="2" name="Picture 2"/>
        <xdr:cNvPicPr preferRelativeResize="1">
          <a:picLocks noChangeAspect="1"/>
        </xdr:cNvPicPr>
      </xdr:nvPicPr>
      <xdr:blipFill>
        <a:blip r:embed="rId1"/>
        <a:stretch>
          <a:fillRect/>
        </a:stretch>
      </xdr:blipFill>
      <xdr:spPr>
        <a:xfrm>
          <a:off x="7334250" y="6200775"/>
          <a:ext cx="1314450" cy="695325"/>
        </a:xfrm>
        <a:prstGeom prst="rect">
          <a:avLst/>
        </a:prstGeom>
        <a:noFill/>
        <a:ln w="9525" cmpd="sng">
          <a:noFill/>
        </a:ln>
      </xdr:spPr>
    </xdr:pic>
    <xdr:clientData/>
  </xdr:twoCellAnchor>
  <xdr:twoCellAnchor>
    <xdr:from>
      <xdr:col>1</xdr:col>
      <xdr:colOff>95250</xdr:colOff>
      <xdr:row>3</xdr:row>
      <xdr:rowOff>9525</xdr:rowOff>
    </xdr:from>
    <xdr:to>
      <xdr:col>3</xdr:col>
      <xdr:colOff>152400</xdr:colOff>
      <xdr:row>7</xdr:row>
      <xdr:rowOff>38100</xdr:rowOff>
    </xdr:to>
    <xdr:sp>
      <xdr:nvSpPr>
        <xdr:cNvPr id="3" name="Rectangular Callout 3"/>
        <xdr:cNvSpPr>
          <a:spLocks/>
        </xdr:cNvSpPr>
      </xdr:nvSpPr>
      <xdr:spPr>
        <a:xfrm>
          <a:off x="238125" y="638175"/>
          <a:ext cx="1657350" cy="676275"/>
        </a:xfrm>
        <a:prstGeom prst="wedgeRectCallout">
          <a:avLst>
            <a:gd name="adj1" fmla="val -7814"/>
            <a:gd name="adj2" fmla="val -49157"/>
          </a:avLst>
        </a:prstGeom>
        <a:solidFill>
          <a:srgbClr val="FFFFCC"/>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Values specific for your</a:t>
          </a:r>
          <a:r>
            <a:rPr lang="en-US" cap="none" sz="1100" b="0" i="0" u="none" baseline="0">
              <a:solidFill>
                <a:srgbClr val="000000"/>
              </a:solidFill>
              <a:latin typeface="Calibri"/>
              <a:ea typeface="Calibri"/>
              <a:cs typeface="Calibri"/>
            </a:rPr>
            <a:t> situation can be entered in any of the yellow cells.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19</xdr:row>
      <xdr:rowOff>9525</xdr:rowOff>
    </xdr:from>
    <xdr:to>
      <xdr:col>9</xdr:col>
      <xdr:colOff>457200</xdr:colOff>
      <xdr:row>34</xdr:row>
      <xdr:rowOff>95250</xdr:rowOff>
    </xdr:to>
    <xdr:graphicFrame>
      <xdr:nvGraphicFramePr>
        <xdr:cNvPr id="1" name="Chart 1"/>
        <xdr:cNvGraphicFramePr/>
      </xdr:nvGraphicFramePr>
      <xdr:xfrm>
        <a:off x="1200150" y="3771900"/>
        <a:ext cx="4667250" cy="29432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19</xdr:row>
      <xdr:rowOff>0</xdr:rowOff>
    </xdr:from>
    <xdr:to>
      <xdr:col>17</xdr:col>
      <xdr:colOff>400050</xdr:colOff>
      <xdr:row>34</xdr:row>
      <xdr:rowOff>85725</xdr:rowOff>
    </xdr:to>
    <xdr:graphicFrame>
      <xdr:nvGraphicFramePr>
        <xdr:cNvPr id="2" name="Chart 1"/>
        <xdr:cNvGraphicFramePr/>
      </xdr:nvGraphicFramePr>
      <xdr:xfrm>
        <a:off x="6019800" y="3762375"/>
        <a:ext cx="4667250" cy="2943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19</xdr:row>
      <xdr:rowOff>9525</xdr:rowOff>
    </xdr:from>
    <xdr:to>
      <xdr:col>9</xdr:col>
      <xdr:colOff>457200</xdr:colOff>
      <xdr:row>34</xdr:row>
      <xdr:rowOff>95250</xdr:rowOff>
    </xdr:to>
    <xdr:graphicFrame>
      <xdr:nvGraphicFramePr>
        <xdr:cNvPr id="1" name="Chart 1"/>
        <xdr:cNvGraphicFramePr/>
      </xdr:nvGraphicFramePr>
      <xdr:xfrm>
        <a:off x="1200150" y="3771900"/>
        <a:ext cx="4667250" cy="2943225"/>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19</xdr:row>
      <xdr:rowOff>28575</xdr:rowOff>
    </xdr:from>
    <xdr:to>
      <xdr:col>18</xdr:col>
      <xdr:colOff>400050</xdr:colOff>
      <xdr:row>34</xdr:row>
      <xdr:rowOff>114300</xdr:rowOff>
    </xdr:to>
    <xdr:graphicFrame>
      <xdr:nvGraphicFramePr>
        <xdr:cNvPr id="2" name="Chart 2"/>
        <xdr:cNvGraphicFramePr/>
      </xdr:nvGraphicFramePr>
      <xdr:xfrm>
        <a:off x="6629400" y="3790950"/>
        <a:ext cx="4667250" cy="29432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285750</xdr:colOff>
      <xdr:row>30</xdr:row>
      <xdr:rowOff>142875</xdr:rowOff>
    </xdr:to>
    <xdr:pic>
      <xdr:nvPicPr>
        <xdr:cNvPr id="1" name="Picture 1"/>
        <xdr:cNvPicPr preferRelativeResize="1">
          <a:picLocks noChangeAspect="1"/>
        </xdr:cNvPicPr>
      </xdr:nvPicPr>
      <xdr:blipFill>
        <a:blip r:embed="rId1"/>
        <a:stretch>
          <a:fillRect/>
        </a:stretch>
      </xdr:blipFill>
      <xdr:spPr>
        <a:xfrm>
          <a:off x="0" y="0"/>
          <a:ext cx="8210550" cy="5857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H14"/>
  <sheetViews>
    <sheetView tabSelected="1" zoomScalePageLayoutView="0" workbookViewId="0" topLeftCell="A1">
      <selection activeCell="K8" sqref="K8"/>
    </sheetView>
  </sheetViews>
  <sheetFormatPr defaultColWidth="9.140625" defaultRowHeight="15"/>
  <cols>
    <col min="1" max="1" width="3.140625" style="0" customWidth="1"/>
    <col min="2" max="2" width="12.00390625" style="65" bestFit="1" customWidth="1"/>
    <col min="3" max="3" width="2.8515625" style="65" customWidth="1"/>
    <col min="4" max="4" width="70.7109375" style="64" customWidth="1"/>
    <col min="6" max="6" width="23.28125" style="0" customWidth="1"/>
  </cols>
  <sheetData>
    <row r="1" spans="1:8" ht="15">
      <c r="A1" s="66"/>
      <c r="B1" s="67"/>
      <c r="C1" s="67"/>
      <c r="D1" s="68"/>
      <c r="E1" s="66"/>
      <c r="F1" s="66"/>
      <c r="G1" s="66"/>
      <c r="H1" s="66"/>
    </row>
    <row r="2" spans="1:8" ht="75">
      <c r="A2" s="66"/>
      <c r="B2" s="69" t="s">
        <v>75</v>
      </c>
      <c r="C2" s="69"/>
      <c r="D2" s="73" t="s">
        <v>81</v>
      </c>
      <c r="E2" s="66"/>
      <c r="F2" s="74"/>
      <c r="G2" s="66"/>
      <c r="H2" s="66"/>
    </row>
    <row r="3" spans="1:8" ht="3.75" customHeight="1">
      <c r="A3" s="66"/>
      <c r="B3" s="67"/>
      <c r="C3" s="67"/>
      <c r="D3" s="68"/>
      <c r="E3" s="66"/>
      <c r="F3" s="66"/>
      <c r="G3" s="66"/>
      <c r="H3" s="66"/>
    </row>
    <row r="4" spans="1:8" ht="45">
      <c r="A4" s="66"/>
      <c r="B4" s="69" t="s">
        <v>76</v>
      </c>
      <c r="C4" s="69"/>
      <c r="D4" s="73" t="s">
        <v>82</v>
      </c>
      <c r="E4" s="66"/>
      <c r="F4" s="66"/>
      <c r="G4" s="66"/>
      <c r="H4" s="66"/>
    </row>
    <row r="5" spans="1:8" ht="3.75" customHeight="1">
      <c r="A5" s="66"/>
      <c r="B5" s="67"/>
      <c r="C5" s="67"/>
      <c r="D5" s="68"/>
      <c r="E5" s="66"/>
      <c r="F5" s="66"/>
      <c r="G5" s="66"/>
      <c r="H5" s="66"/>
    </row>
    <row r="6" spans="1:8" ht="35.25" customHeight="1">
      <c r="A6" s="66"/>
      <c r="B6" s="69" t="s">
        <v>74</v>
      </c>
      <c r="C6" s="70">
        <v>1</v>
      </c>
      <c r="D6" s="71" t="s">
        <v>73</v>
      </c>
      <c r="E6" s="66"/>
      <c r="F6" s="66"/>
      <c r="G6" s="66"/>
      <c r="H6" s="66"/>
    </row>
    <row r="7" spans="1:8" ht="37.5" customHeight="1">
      <c r="A7" s="66"/>
      <c r="B7" s="72"/>
      <c r="C7" s="70">
        <v>2</v>
      </c>
      <c r="D7" s="71" t="s">
        <v>80</v>
      </c>
      <c r="E7" s="66"/>
      <c r="F7" s="66"/>
      <c r="G7" s="66"/>
      <c r="H7" s="66"/>
    </row>
    <row r="8" spans="1:8" ht="129" customHeight="1">
      <c r="A8" s="66"/>
      <c r="B8" s="72"/>
      <c r="C8" s="70">
        <v>3</v>
      </c>
      <c r="D8" s="71" t="s">
        <v>83</v>
      </c>
      <c r="E8" s="66"/>
      <c r="F8" s="66"/>
      <c r="G8" s="66"/>
      <c r="H8" s="66"/>
    </row>
    <row r="9" spans="1:8" ht="36" customHeight="1">
      <c r="A9" s="66"/>
      <c r="B9" s="72"/>
      <c r="C9" s="70">
        <v>4</v>
      </c>
      <c r="D9" s="71" t="s">
        <v>84</v>
      </c>
      <c r="E9" s="66"/>
      <c r="F9" s="66"/>
      <c r="G9" s="66"/>
      <c r="H9" s="66"/>
    </row>
    <row r="10" spans="1:8" ht="50.25" customHeight="1">
      <c r="A10" s="66"/>
      <c r="B10" s="72"/>
      <c r="C10" s="70">
        <v>5</v>
      </c>
      <c r="D10" s="71" t="s">
        <v>85</v>
      </c>
      <c r="E10" s="66"/>
      <c r="F10" s="66"/>
      <c r="G10" s="66"/>
      <c r="H10" s="66"/>
    </row>
    <row r="11" spans="1:8" ht="50.25" customHeight="1">
      <c r="A11" s="66"/>
      <c r="B11" s="72"/>
      <c r="C11" s="70">
        <v>6</v>
      </c>
      <c r="D11" s="71" t="s">
        <v>79</v>
      </c>
      <c r="E11" s="66"/>
      <c r="F11" s="66"/>
      <c r="G11" s="66"/>
      <c r="H11" s="66"/>
    </row>
    <row r="12" spans="1:8" ht="81.75" customHeight="1">
      <c r="A12" s="66"/>
      <c r="B12" s="72"/>
      <c r="C12" s="70">
        <v>7</v>
      </c>
      <c r="D12" s="71" t="s">
        <v>77</v>
      </c>
      <c r="E12" s="66"/>
      <c r="F12" s="66"/>
      <c r="G12" s="66"/>
      <c r="H12" s="66"/>
    </row>
    <row r="13" spans="1:8" ht="60">
      <c r="A13" s="66"/>
      <c r="B13" s="72"/>
      <c r="C13" s="70">
        <v>8</v>
      </c>
      <c r="D13" s="71" t="s">
        <v>78</v>
      </c>
      <c r="E13" s="66"/>
      <c r="F13" s="66"/>
      <c r="G13" s="66"/>
      <c r="H13" s="66"/>
    </row>
    <row r="14" spans="1:8" ht="15">
      <c r="A14" s="66"/>
      <c r="B14" s="66"/>
      <c r="C14" s="66"/>
      <c r="D14" s="66"/>
      <c r="E14" s="66"/>
      <c r="F14" s="66"/>
      <c r="G14" s="66"/>
      <c r="H14" s="66"/>
    </row>
  </sheetData>
  <sheetProtection sheet="1"/>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125"/>
  <sheetViews>
    <sheetView zoomScalePageLayoutView="0" workbookViewId="0" topLeftCell="A1">
      <pane ySplit="14" topLeftCell="A15" activePane="bottomLeft" state="frozen"/>
      <selection pane="topLeft" activeCell="A1" sqref="A1"/>
      <selection pane="bottomLeft" activeCell="W35" sqref="U35:W40"/>
    </sheetView>
  </sheetViews>
  <sheetFormatPr defaultColWidth="8.8515625" defaultRowHeight="15"/>
  <cols>
    <col min="1" max="1" width="2.140625" style="1" customWidth="1"/>
    <col min="2" max="2" width="12.140625" style="1" customWidth="1"/>
    <col min="3" max="3" width="11.8515625" style="1" customWidth="1"/>
    <col min="4" max="4" width="13.00390625" style="1" customWidth="1"/>
    <col min="5" max="5" width="11.421875" style="1" hidden="1" customWidth="1"/>
    <col min="6" max="6" width="3.140625" style="1" hidden="1" customWidth="1"/>
    <col min="7" max="7" width="12.28125" style="1" customWidth="1"/>
    <col min="8" max="8" width="11.00390625" style="1" customWidth="1"/>
    <col min="9" max="9" width="10.7109375" style="1" customWidth="1"/>
    <col min="10" max="10" width="11.00390625" style="1" customWidth="1"/>
    <col min="11" max="11" width="13.421875" style="1" customWidth="1"/>
    <col min="12" max="12" width="8.8515625" style="1" hidden="1" customWidth="1"/>
    <col min="13" max="13" width="1.8515625" style="1" customWidth="1"/>
    <col min="14" max="18" width="8.8515625" style="1" hidden="1" customWidth="1"/>
    <col min="19" max="19" width="9.8515625" style="1" customWidth="1"/>
    <col min="20" max="20" width="10.7109375" style="1" customWidth="1"/>
    <col min="21" max="21" width="10.8515625" style="1" customWidth="1"/>
    <col min="22" max="22" width="2.00390625" style="1" customWidth="1"/>
    <col min="23" max="16384" width="8.8515625" style="1" customWidth="1"/>
  </cols>
  <sheetData>
    <row r="1" spans="1:22" ht="12.75">
      <c r="A1" s="26"/>
      <c r="B1" s="26"/>
      <c r="C1" s="26"/>
      <c r="D1" s="26"/>
      <c r="E1" s="26"/>
      <c r="F1" s="26"/>
      <c r="G1" s="26"/>
      <c r="H1" s="26"/>
      <c r="I1" s="26"/>
      <c r="J1" s="26"/>
      <c r="K1" s="26"/>
      <c r="L1" s="26"/>
      <c r="M1" s="26"/>
      <c r="S1" s="26"/>
      <c r="T1" s="26"/>
      <c r="U1" s="26"/>
      <c r="V1" s="26"/>
    </row>
    <row r="2" spans="1:22" ht="24" customHeight="1">
      <c r="A2" s="26"/>
      <c r="B2" s="26"/>
      <c r="C2" s="39"/>
      <c r="D2" s="40"/>
      <c r="E2" s="40"/>
      <c r="F2" s="40"/>
      <c r="G2" s="40" t="s">
        <v>57</v>
      </c>
      <c r="H2" s="39"/>
      <c r="I2" s="39"/>
      <c r="J2" s="41"/>
      <c r="K2" s="26"/>
      <c r="L2" s="26"/>
      <c r="M2" s="26"/>
      <c r="S2" s="26"/>
      <c r="T2" s="26"/>
      <c r="U2" s="26"/>
      <c r="V2" s="26"/>
    </row>
    <row r="3" spans="1:22" ht="12.75">
      <c r="A3" s="26"/>
      <c r="B3" s="26"/>
      <c r="C3" s="26"/>
      <c r="D3" s="26"/>
      <c r="E3" s="26"/>
      <c r="F3" s="26"/>
      <c r="G3" s="26"/>
      <c r="H3" s="26"/>
      <c r="I3" s="26"/>
      <c r="J3" s="26"/>
      <c r="K3" s="26"/>
      <c r="L3" s="26"/>
      <c r="M3" s="26"/>
      <c r="S3" s="26"/>
      <c r="T3" s="26"/>
      <c r="U3" s="26"/>
      <c r="V3" s="26"/>
    </row>
    <row r="4" spans="1:22" ht="12.75">
      <c r="A4" s="26"/>
      <c r="B4" s="26"/>
      <c r="C4" s="26"/>
      <c r="D4" s="26"/>
      <c r="E4" s="26"/>
      <c r="F4" s="26"/>
      <c r="G4" s="56"/>
      <c r="H4" s="59"/>
      <c r="I4" s="57" t="s">
        <v>72</v>
      </c>
      <c r="J4" s="58">
        <v>320</v>
      </c>
      <c r="K4" s="26"/>
      <c r="L4" s="26"/>
      <c r="M4" s="26"/>
      <c r="S4" s="26"/>
      <c r="T4" s="26"/>
      <c r="U4" s="26"/>
      <c r="V4" s="26"/>
    </row>
    <row r="5" spans="1:22" ht="12.75">
      <c r="A5" s="26"/>
      <c r="B5" s="26"/>
      <c r="C5" s="26"/>
      <c r="D5" s="26"/>
      <c r="E5" s="26"/>
      <c r="F5" s="26"/>
      <c r="G5" s="26"/>
      <c r="H5" s="29"/>
      <c r="I5" s="30" t="s">
        <v>66</v>
      </c>
      <c r="J5" s="43">
        <v>1.85</v>
      </c>
      <c r="K5" s="26"/>
      <c r="L5" s="15">
        <f>J4/2000</f>
        <v>0.16</v>
      </c>
      <c r="M5" s="26"/>
      <c r="S5" s="26"/>
      <c r="T5" s="26"/>
      <c r="U5" s="26"/>
      <c r="V5" s="26"/>
    </row>
    <row r="6" spans="1:22" ht="12.75">
      <c r="A6" s="26"/>
      <c r="B6" s="26"/>
      <c r="C6" s="26"/>
      <c r="D6" s="26"/>
      <c r="E6" s="26"/>
      <c r="F6" s="26"/>
      <c r="G6" s="26"/>
      <c r="H6" s="27"/>
      <c r="I6" s="28" t="s">
        <v>36</v>
      </c>
      <c r="J6" s="42">
        <v>0.1</v>
      </c>
      <c r="K6" s="26"/>
      <c r="L6" s="9"/>
      <c r="M6" s="26"/>
      <c r="S6" s="26"/>
      <c r="T6" s="26"/>
      <c r="U6" s="26"/>
      <c r="V6" s="26"/>
    </row>
    <row r="7" spans="1:22" ht="12.75">
      <c r="A7" s="26"/>
      <c r="B7" s="26"/>
      <c r="C7" s="26"/>
      <c r="D7" s="26"/>
      <c r="E7" s="26"/>
      <c r="F7" s="26"/>
      <c r="G7" s="26"/>
      <c r="H7" s="27"/>
      <c r="I7" s="28" t="s">
        <v>58</v>
      </c>
      <c r="J7" s="42">
        <v>0.75</v>
      </c>
      <c r="K7" s="26"/>
      <c r="L7" s="18">
        <f>J6/J5</f>
        <v>0.05405405405405406</v>
      </c>
      <c r="M7" s="26"/>
      <c r="N7" s="9"/>
      <c r="O7" s="9"/>
      <c r="P7" s="9"/>
      <c r="S7" s="26"/>
      <c r="T7" s="26"/>
      <c r="U7" s="26"/>
      <c r="V7" s="26"/>
    </row>
    <row r="8" spans="1:22" ht="12.75">
      <c r="A8" s="26"/>
      <c r="B8" s="26"/>
      <c r="C8" s="26"/>
      <c r="D8" s="26"/>
      <c r="E8" s="26"/>
      <c r="F8" s="26"/>
      <c r="G8" s="26"/>
      <c r="H8" s="27"/>
      <c r="I8" s="28" t="s">
        <v>37</v>
      </c>
      <c r="J8" s="44">
        <v>0.035</v>
      </c>
      <c r="K8" s="26"/>
      <c r="L8" s="49">
        <f>J7*J10</f>
        <v>0.5549999999999999</v>
      </c>
      <c r="M8" s="26"/>
      <c r="N8" s="9"/>
      <c r="O8" s="9"/>
      <c r="P8" s="9"/>
      <c r="S8" s="26"/>
      <c r="T8" s="26"/>
      <c r="U8" s="26"/>
      <c r="V8" s="26"/>
    </row>
    <row r="9" spans="1:22" ht="12.75">
      <c r="A9" s="26"/>
      <c r="B9" s="2" t="s">
        <v>65</v>
      </c>
      <c r="D9" s="26"/>
      <c r="E9" s="26"/>
      <c r="F9" s="26"/>
      <c r="G9" s="26"/>
      <c r="H9" s="31"/>
      <c r="I9" s="32" t="s">
        <v>38</v>
      </c>
      <c r="J9" s="45">
        <v>120</v>
      </c>
      <c r="K9" s="26"/>
      <c r="L9" s="17">
        <f>J8/J9/J5</f>
        <v>0.00015765765765765767</v>
      </c>
      <c r="M9" s="26"/>
      <c r="N9" s="9"/>
      <c r="O9" s="9"/>
      <c r="P9" s="9"/>
      <c r="S9" s="26"/>
      <c r="T9" s="26"/>
      <c r="U9" s="26"/>
      <c r="V9" s="26"/>
    </row>
    <row r="10" spans="1:22" ht="12.75">
      <c r="A10" s="26"/>
      <c r="B10" s="33" t="s">
        <v>0</v>
      </c>
      <c r="C10" s="3">
        <v>50</v>
      </c>
      <c r="D10" s="26"/>
      <c r="E10" s="26"/>
      <c r="F10" s="26"/>
      <c r="G10" s="26"/>
      <c r="H10" s="50"/>
      <c r="I10" s="28" t="s">
        <v>59</v>
      </c>
      <c r="J10" s="44">
        <v>0.74</v>
      </c>
      <c r="K10" s="26"/>
      <c r="L10" s="25"/>
      <c r="M10" s="26"/>
      <c r="N10" s="9"/>
      <c r="O10" s="9"/>
      <c r="P10" s="9"/>
      <c r="S10" s="26"/>
      <c r="T10" s="26"/>
      <c r="U10" s="26"/>
      <c r="V10" s="26"/>
    </row>
    <row r="11" spans="1:22" ht="12.75">
      <c r="A11" s="26"/>
      <c r="B11" s="35" t="s">
        <v>1</v>
      </c>
      <c r="C11" s="3">
        <v>275</v>
      </c>
      <c r="D11" s="26"/>
      <c r="E11" s="26"/>
      <c r="F11" s="26"/>
      <c r="G11" s="26"/>
      <c r="H11" s="50"/>
      <c r="I11" s="28" t="s">
        <v>61</v>
      </c>
      <c r="J11" s="51">
        <v>1000</v>
      </c>
      <c r="K11" s="26"/>
      <c r="L11" s="25"/>
      <c r="M11" s="26"/>
      <c r="N11" s="9"/>
      <c r="O11" s="9"/>
      <c r="P11" s="9"/>
      <c r="S11" s="26"/>
      <c r="T11" s="26"/>
      <c r="U11" s="26"/>
      <c r="V11" s="26"/>
    </row>
    <row r="12" spans="1:22" ht="12.75">
      <c r="A12" s="26"/>
      <c r="B12" s="34" t="s">
        <v>2</v>
      </c>
      <c r="C12" s="16">
        <v>2.8</v>
      </c>
      <c r="D12" s="26"/>
      <c r="E12" s="26"/>
      <c r="F12" s="26"/>
      <c r="G12" s="26"/>
      <c r="H12" s="26"/>
      <c r="I12" s="26"/>
      <c r="J12" s="26"/>
      <c r="K12" s="26"/>
      <c r="L12" s="26"/>
      <c r="M12" s="26"/>
      <c r="N12" s="9"/>
      <c r="O12" s="9"/>
      <c r="P12" s="9"/>
      <c r="S12" s="61"/>
      <c r="T12" s="62" t="s">
        <v>67</v>
      </c>
      <c r="U12" s="61"/>
      <c r="V12" s="26"/>
    </row>
    <row r="13" spans="1:22" ht="12.75">
      <c r="A13" s="26"/>
      <c r="B13" s="26"/>
      <c r="C13" s="26"/>
      <c r="D13" s="26"/>
      <c r="E13" s="26"/>
      <c r="F13" s="26"/>
      <c r="G13" s="26"/>
      <c r="H13" s="53" t="s">
        <v>41</v>
      </c>
      <c r="I13" s="20"/>
      <c r="J13" s="21"/>
      <c r="K13" s="20"/>
      <c r="L13" s="9"/>
      <c r="M13" s="26"/>
      <c r="N13" s="9"/>
      <c r="O13" s="9"/>
      <c r="S13" s="52"/>
      <c r="T13" s="60" t="s">
        <v>68</v>
      </c>
      <c r="U13" s="52"/>
      <c r="V13" s="26"/>
    </row>
    <row r="14" spans="1:22" ht="52.5" customHeight="1">
      <c r="A14" s="26"/>
      <c r="B14" s="36" t="s">
        <v>56</v>
      </c>
      <c r="C14" s="48" t="s">
        <v>60</v>
      </c>
      <c r="D14" s="36" t="s">
        <v>3</v>
      </c>
      <c r="E14" s="36" t="s">
        <v>4</v>
      </c>
      <c r="F14" s="36" t="s">
        <v>5</v>
      </c>
      <c r="G14" s="36" t="s">
        <v>6</v>
      </c>
      <c r="H14" s="36" t="s">
        <v>39</v>
      </c>
      <c r="I14" s="37" t="s">
        <v>40</v>
      </c>
      <c r="J14" s="37" t="s">
        <v>54</v>
      </c>
      <c r="K14" s="37" t="s">
        <v>55</v>
      </c>
      <c r="L14" s="8"/>
      <c r="M14" s="26"/>
      <c r="N14" s="8"/>
      <c r="O14" s="8"/>
      <c r="S14" s="37" t="s">
        <v>62</v>
      </c>
      <c r="T14" s="37" t="s">
        <v>63</v>
      </c>
      <c r="U14" s="37" t="s">
        <v>64</v>
      </c>
      <c r="V14" s="26"/>
    </row>
    <row r="15" spans="1:22" ht="12.75">
      <c r="A15" s="26"/>
      <c r="B15" s="46">
        <f>C15*$J$10</f>
        <v>155.4</v>
      </c>
      <c r="C15" s="47">
        <v>210</v>
      </c>
      <c r="D15" s="38">
        <f aca="true" t="shared" si="0" ref="D15:D33">(0.00463*$C15^2+1.68*$C15-22.05)/(((0.00463*$C$11^2+1.68*$C$11-22.05)-(0.00463*$C$10^2+1.68*$C$10-22.05))/($C$11-$C$10))*$C$12</f>
        <v>470.3076850616217</v>
      </c>
      <c r="E15" s="4"/>
      <c r="F15" s="5" t="s">
        <v>7</v>
      </c>
      <c r="G15" s="5"/>
      <c r="H15" s="9"/>
      <c r="I15" s="10"/>
      <c r="J15" s="10"/>
      <c r="K15" s="10"/>
      <c r="L15" s="10"/>
      <c r="M15" s="26"/>
      <c r="N15" s="9">
        <f aca="true" t="shared" si="1" ref="N15:N31">IF(H15&lt;($L$8*100),"",(H15-$L$8*100)*5/100)</f>
      </c>
      <c r="O15" s="10"/>
      <c r="P15" s="9">
        <f aca="true" t="shared" si="2" ref="P15:P32">IF(J15&lt;($L$8*100),"",(J15-$L$8*100)*5/100)</f>
      </c>
      <c r="Q15" s="9">
        <f aca="true" t="shared" si="3" ref="Q15:Q32">IF(K15&lt;($L$8*100),"",(K15-$L$8*100)*5/100)</f>
      </c>
      <c r="S15" s="54">
        <f>IF(N15="","",SUM($N15:N$17)*$J$11)</f>
      </c>
      <c r="T15" s="54">
        <f>IF(P15="","",SUM($N15:P$17)*$J$11)</f>
      </c>
      <c r="U15" s="54">
        <f>IF(Q15="","",SUM($N15:Q$17)*$J$11)</f>
      </c>
      <c r="V15" s="26"/>
    </row>
    <row r="16" spans="1:22" ht="12.75">
      <c r="A16" s="26"/>
      <c r="B16" s="46">
        <f aca="true" t="shared" si="4" ref="B16:B33">C16*$J$10</f>
        <v>159.1</v>
      </c>
      <c r="C16" s="47">
        <v>215</v>
      </c>
      <c r="D16" s="38">
        <f t="shared" si="0"/>
        <v>486.34300965538887</v>
      </c>
      <c r="E16" s="4">
        <f aca="true" t="shared" si="5" ref="E16:E33">D16-$D$15</f>
        <v>16.035324593767143</v>
      </c>
      <c r="F16" s="6">
        <f aca="true" t="shared" si="6" ref="F16:F32">D16-D15</f>
        <v>16.035324593767143</v>
      </c>
      <c r="G16" s="7">
        <f aca="true" t="shared" si="7" ref="G16:G32">F16/(C16-C15)</f>
        <v>3.207064918753429</v>
      </c>
      <c r="H16" s="19">
        <f aca="true" t="shared" si="8" ref="H16:H33">G16*$L$5*100</f>
        <v>51.31303870005486</v>
      </c>
      <c r="I16" s="19">
        <f aca="true" t="shared" si="9" ref="I16:I33">((C16-C15)/$J$5)*($J$8/$J$9)*($L$8*C16)/(C16-C15)*100</f>
        <v>1.8812500000000003</v>
      </c>
      <c r="J16" s="19">
        <f>H16+I16</f>
        <v>53.19428870005486</v>
      </c>
      <c r="K16" s="19">
        <f aca="true" t="shared" si="10" ref="K16:K33">J16+$L$7*100</f>
        <v>58.599694105460266</v>
      </c>
      <c r="L16" s="9"/>
      <c r="M16" s="26"/>
      <c r="N16" s="9">
        <f t="shared" si="1"/>
      </c>
      <c r="O16" s="9"/>
      <c r="P16" s="9">
        <f t="shared" si="2"/>
      </c>
      <c r="Q16" s="9">
        <f t="shared" si="3"/>
        <v>0.15498470527301364</v>
      </c>
      <c r="S16" s="55">
        <f>IF(N16="","",SUM($N$16:N16)*$J$11)</f>
      </c>
      <c r="T16" s="55">
        <f>IF(P16="","",SUM($P$16:P16)*$J$11)</f>
      </c>
      <c r="U16" s="55">
        <f>IF(Q16="","",SUM($Q$16:Q16)*$J$11)</f>
        <v>154.98470527301365</v>
      </c>
      <c r="V16" s="26"/>
    </row>
    <row r="17" spans="1:22" ht="12.75">
      <c r="A17" s="26"/>
      <c r="B17" s="46">
        <f t="shared" si="4"/>
        <v>162.8</v>
      </c>
      <c r="C17" s="47">
        <f>C16+5</f>
        <v>220</v>
      </c>
      <c r="D17" s="38">
        <f t="shared" si="0"/>
        <v>502.58186670853286</v>
      </c>
      <c r="E17" s="4">
        <f t="shared" si="5"/>
        <v>32.27418164691113</v>
      </c>
      <c r="F17" s="6">
        <f t="shared" si="6"/>
        <v>16.238857053143988</v>
      </c>
      <c r="G17" s="7">
        <f t="shared" si="7"/>
        <v>3.247771410628798</v>
      </c>
      <c r="H17" s="19">
        <f t="shared" si="8"/>
        <v>51.964342570060765</v>
      </c>
      <c r="I17" s="19">
        <f t="shared" si="9"/>
        <v>1.9249999999999996</v>
      </c>
      <c r="J17" s="19">
        <f aca="true" t="shared" si="11" ref="J17:J33">H17+I17</f>
        <v>53.88934257006076</v>
      </c>
      <c r="K17" s="19">
        <f t="shared" si="10"/>
        <v>59.294747975466166</v>
      </c>
      <c r="M17" s="26"/>
      <c r="N17" s="9">
        <f t="shared" si="1"/>
      </c>
      <c r="P17" s="9">
        <f t="shared" si="2"/>
      </c>
      <c r="Q17" s="9">
        <f t="shared" si="3"/>
        <v>0.18973739877330864</v>
      </c>
      <c r="S17" s="55">
        <f>IF(N17="","",SUM($N$16:N17)*$J$11)</f>
      </c>
      <c r="T17" s="55">
        <f>IF(P17="","",SUM($P$16:P17)*$J$11)</f>
      </c>
      <c r="U17" s="55">
        <f>IF(Q17="","",SUM($Q$16:Q17)*$J$11)</f>
        <v>344.72210404632233</v>
      </c>
      <c r="V17" s="26"/>
    </row>
    <row r="18" spans="1:22" ht="12.75">
      <c r="A18" s="26"/>
      <c r="B18" s="46">
        <f t="shared" si="4"/>
        <v>166.5</v>
      </c>
      <c r="C18" s="47">
        <f aca="true" t="shared" si="12" ref="C18:C32">C17+5</f>
        <v>225</v>
      </c>
      <c r="D18" s="38">
        <f t="shared" si="0"/>
        <v>519.0242562210534</v>
      </c>
      <c r="E18" s="4">
        <f t="shared" si="5"/>
        <v>48.71657115943168</v>
      </c>
      <c r="F18" s="6">
        <f t="shared" si="6"/>
        <v>16.44238951252055</v>
      </c>
      <c r="G18" s="7">
        <f t="shared" si="7"/>
        <v>3.28847790250411</v>
      </c>
      <c r="H18" s="19">
        <f t="shared" si="8"/>
        <v>52.61564644006575</v>
      </c>
      <c r="I18" s="19">
        <f t="shared" si="9"/>
        <v>1.96875</v>
      </c>
      <c r="J18" s="19">
        <f t="shared" si="11"/>
        <v>54.58439644006575</v>
      </c>
      <c r="K18" s="19">
        <f t="shared" si="10"/>
        <v>59.989801845471156</v>
      </c>
      <c r="M18" s="26"/>
      <c r="N18" s="9">
        <f t="shared" si="1"/>
      </c>
      <c r="P18" s="9">
        <f t="shared" si="2"/>
      </c>
      <c r="Q18" s="9">
        <f t="shared" si="3"/>
        <v>0.22449009227355815</v>
      </c>
      <c r="S18" s="55">
        <f>IF(N18="","",SUM($N$16:N18)*$J$11)</f>
      </c>
      <c r="T18" s="55">
        <f>IF(P18="","",SUM($P$16:P18)*$J$11)</f>
      </c>
      <c r="U18" s="55">
        <f>IF(Q18="","",SUM($Q$16:Q18)*$J$11)</f>
        <v>569.2121963198804</v>
      </c>
      <c r="V18" s="26"/>
    </row>
    <row r="19" spans="1:22" ht="12.75">
      <c r="A19" s="26"/>
      <c r="B19" s="46">
        <f t="shared" si="4"/>
        <v>170.2</v>
      </c>
      <c r="C19" s="47">
        <f t="shared" si="12"/>
        <v>230</v>
      </c>
      <c r="D19" s="38">
        <f t="shared" si="0"/>
        <v>535.6701781929507</v>
      </c>
      <c r="E19" s="4">
        <f t="shared" si="5"/>
        <v>65.36249313132902</v>
      </c>
      <c r="F19" s="6">
        <f t="shared" si="6"/>
        <v>16.645921971897337</v>
      </c>
      <c r="G19" s="7">
        <f t="shared" si="7"/>
        <v>3.3291843943794674</v>
      </c>
      <c r="H19" s="19">
        <f t="shared" si="8"/>
        <v>53.26695031007148</v>
      </c>
      <c r="I19" s="19">
        <f t="shared" si="9"/>
        <v>2.0125</v>
      </c>
      <c r="J19" s="19">
        <f t="shared" si="11"/>
        <v>55.27945031007148</v>
      </c>
      <c r="K19" s="19">
        <f t="shared" si="10"/>
        <v>60.684855715476886</v>
      </c>
      <c r="M19" s="26"/>
      <c r="N19" s="9">
        <f t="shared" si="1"/>
      </c>
      <c r="P19" s="9">
        <f t="shared" si="2"/>
      </c>
      <c r="Q19" s="9">
        <f t="shared" si="3"/>
        <v>0.25924278577384463</v>
      </c>
      <c r="S19" s="55">
        <f>IF(N19="","",SUM($N$16:N19)*$J$11)</f>
      </c>
      <c r="T19" s="55">
        <f>IF(P19="","",SUM($P$16:P19)*$J$11)</f>
      </c>
      <c r="U19" s="55">
        <f>IF(Q19="","",SUM($Q$16:Q19)*$J$11)</f>
        <v>828.454982093725</v>
      </c>
      <c r="V19" s="26"/>
    </row>
    <row r="20" spans="1:22" ht="12.75">
      <c r="A20" s="26"/>
      <c r="B20" s="46">
        <f t="shared" si="4"/>
        <v>173.9</v>
      </c>
      <c r="C20" s="47">
        <f t="shared" si="12"/>
        <v>235</v>
      </c>
      <c r="D20" s="38">
        <f t="shared" si="0"/>
        <v>552.5196326242248</v>
      </c>
      <c r="E20" s="4">
        <f t="shared" si="5"/>
        <v>82.21194756260303</v>
      </c>
      <c r="F20" s="6">
        <f t="shared" si="6"/>
        <v>16.84945443127401</v>
      </c>
      <c r="G20" s="7">
        <f t="shared" si="7"/>
        <v>3.3698908862548023</v>
      </c>
      <c r="H20" s="19">
        <f t="shared" si="8"/>
        <v>53.91825418007684</v>
      </c>
      <c r="I20" s="19">
        <f t="shared" si="9"/>
        <v>2.05625</v>
      </c>
      <c r="J20" s="19">
        <f t="shared" si="11"/>
        <v>55.97450418007684</v>
      </c>
      <c r="K20" s="19">
        <f t="shared" si="10"/>
        <v>61.379909585482245</v>
      </c>
      <c r="M20" s="26"/>
      <c r="N20" s="9">
        <f t="shared" si="1"/>
      </c>
      <c r="P20" s="9">
        <f t="shared" si="2"/>
        <v>0.02372520900384245</v>
      </c>
      <c r="Q20" s="9">
        <f t="shared" si="3"/>
        <v>0.2939954792741126</v>
      </c>
      <c r="S20" s="55">
        <f>IF(N20="","",SUM($N$16:N20)*$J$11)</f>
      </c>
      <c r="T20" s="55">
        <f>IF(P20="","",SUM($P$16:P20)*$J$11)</f>
        <v>23.72520900384245</v>
      </c>
      <c r="U20" s="55">
        <f>IF(Q20="","",SUM($Q$16:Q20)*$J$11)</f>
        <v>1122.4504613678378</v>
      </c>
      <c r="V20" s="26"/>
    </row>
    <row r="21" spans="1:22" ht="12.75">
      <c r="A21" s="26"/>
      <c r="B21" s="46">
        <f t="shared" si="4"/>
        <v>177.6</v>
      </c>
      <c r="C21" s="47">
        <f t="shared" si="12"/>
        <v>240</v>
      </c>
      <c r="D21" s="38">
        <f t="shared" si="0"/>
        <v>569.5726195148754</v>
      </c>
      <c r="E21" s="4">
        <f t="shared" si="5"/>
        <v>99.26493445325372</v>
      </c>
      <c r="F21" s="6">
        <f t="shared" si="6"/>
        <v>17.052986890650686</v>
      </c>
      <c r="G21" s="7">
        <f t="shared" si="7"/>
        <v>3.410597378130137</v>
      </c>
      <c r="H21" s="19">
        <f t="shared" si="8"/>
        <v>54.56955805008219</v>
      </c>
      <c r="I21" s="19">
        <f t="shared" si="9"/>
        <v>2.0999999999999996</v>
      </c>
      <c r="J21" s="19">
        <f t="shared" si="11"/>
        <v>56.669558050082195</v>
      </c>
      <c r="K21" s="19">
        <f t="shared" si="10"/>
        <v>62.0749634554876</v>
      </c>
      <c r="M21" s="26"/>
      <c r="N21" s="9">
        <f t="shared" si="1"/>
      </c>
      <c r="P21" s="9">
        <f t="shared" si="2"/>
        <v>0.05847790250411009</v>
      </c>
      <c r="Q21" s="9">
        <f t="shared" si="3"/>
        <v>0.3287481727743803</v>
      </c>
      <c r="S21" s="55">
        <f>IF(N21="","",SUM($N$16:N21)*$J$11)</f>
      </c>
      <c r="T21" s="55">
        <f>IF(P21="","",SUM($P$16:P21)*$J$11)</f>
        <v>82.20311150795254</v>
      </c>
      <c r="U21" s="55">
        <f>IF(Q21="","",SUM($Q$16:Q21)*$J$11)</f>
        <v>1451.198634142218</v>
      </c>
      <c r="V21" s="26"/>
    </row>
    <row r="22" spans="1:22" ht="12.75">
      <c r="A22" s="26"/>
      <c r="B22" s="46">
        <f t="shared" si="4"/>
        <v>181.3</v>
      </c>
      <c r="C22" s="47">
        <f t="shared" si="12"/>
        <v>245</v>
      </c>
      <c r="D22" s="38">
        <f t="shared" si="0"/>
        <v>586.8291388649029</v>
      </c>
      <c r="E22" s="4">
        <f t="shared" si="5"/>
        <v>116.52145380328119</v>
      </c>
      <c r="F22" s="6">
        <f t="shared" si="6"/>
        <v>17.256519350027475</v>
      </c>
      <c r="G22" s="7">
        <f t="shared" si="7"/>
        <v>3.451303870005495</v>
      </c>
      <c r="H22" s="19">
        <f t="shared" si="8"/>
        <v>55.22086192008791</v>
      </c>
      <c r="I22" s="19">
        <f t="shared" si="9"/>
        <v>2.1437500000000003</v>
      </c>
      <c r="J22" s="19">
        <f t="shared" si="11"/>
        <v>57.36461192008791</v>
      </c>
      <c r="K22" s="19">
        <f t="shared" si="10"/>
        <v>62.77001732549331</v>
      </c>
      <c r="M22" s="26"/>
      <c r="N22" s="9">
        <f t="shared" si="1"/>
      </c>
      <c r="P22" s="9">
        <f t="shared" si="2"/>
        <v>0.09323059600439584</v>
      </c>
      <c r="Q22" s="9">
        <f t="shared" si="3"/>
        <v>0.36350086627466605</v>
      </c>
      <c r="S22" s="55">
        <f>IF(N22="","",SUM($N$16:N22)*$J$11)</f>
      </c>
      <c r="T22" s="55">
        <f>IF(P22="","",SUM($P$16:P22)*$J$11)</f>
        <v>175.43370751234838</v>
      </c>
      <c r="U22" s="55">
        <f>IF(Q22="","",SUM($Q$16:Q22)*$J$11)</f>
        <v>1814.699500416884</v>
      </c>
      <c r="V22" s="26"/>
    </row>
    <row r="23" spans="1:22" ht="12.75">
      <c r="A23" s="26"/>
      <c r="B23" s="46">
        <f t="shared" si="4"/>
        <v>185</v>
      </c>
      <c r="C23" s="47">
        <f t="shared" si="12"/>
        <v>250</v>
      </c>
      <c r="D23" s="38">
        <f t="shared" si="0"/>
        <v>604.2891906743072</v>
      </c>
      <c r="E23" s="4">
        <f t="shared" si="5"/>
        <v>133.98150561268545</v>
      </c>
      <c r="F23" s="6">
        <f t="shared" si="6"/>
        <v>17.460051809404263</v>
      </c>
      <c r="G23" s="7">
        <f t="shared" si="7"/>
        <v>3.4920103618808525</v>
      </c>
      <c r="H23" s="19">
        <f t="shared" si="8"/>
        <v>55.87216579009364</v>
      </c>
      <c r="I23" s="19">
        <f t="shared" si="9"/>
        <v>2.1875</v>
      </c>
      <c r="J23" s="19">
        <f t="shared" si="11"/>
        <v>58.05966579009364</v>
      </c>
      <c r="K23" s="19">
        <f t="shared" si="10"/>
        <v>63.46507119549904</v>
      </c>
      <c r="M23" s="26"/>
      <c r="N23" s="9">
        <f t="shared" si="1"/>
        <v>0.018608289504682317</v>
      </c>
      <c r="P23" s="9">
        <f t="shared" si="2"/>
        <v>0.12798328950468232</v>
      </c>
      <c r="Q23" s="9">
        <f t="shared" si="3"/>
        <v>0.39825355977495247</v>
      </c>
      <c r="S23" s="55">
        <f>IF(N23="","",SUM($N$16:N23)*$J$11)</f>
        <v>18.60828950468232</v>
      </c>
      <c r="T23" s="55">
        <f>IF(P23="","",SUM($P$16:P23)*$J$11)</f>
        <v>303.4169970170307</v>
      </c>
      <c r="U23" s="55">
        <f>IF(Q23="","",SUM($Q$16:Q23)*$J$11)</f>
        <v>2212.9530601918364</v>
      </c>
      <c r="V23" s="26"/>
    </row>
    <row r="24" spans="1:22" ht="12.75">
      <c r="A24" s="26"/>
      <c r="B24" s="46">
        <f t="shared" si="4"/>
        <v>188.7</v>
      </c>
      <c r="C24" s="47">
        <f t="shared" si="12"/>
        <v>255</v>
      </c>
      <c r="D24" s="38">
        <f t="shared" si="0"/>
        <v>621.952774943088</v>
      </c>
      <c r="E24" s="4">
        <f t="shared" si="5"/>
        <v>151.64508988146628</v>
      </c>
      <c r="F24" s="6">
        <f t="shared" si="6"/>
        <v>17.663584268780824</v>
      </c>
      <c r="G24" s="7">
        <f t="shared" si="7"/>
        <v>3.5327168537561646</v>
      </c>
      <c r="H24" s="19">
        <f t="shared" si="8"/>
        <v>56.523469660098634</v>
      </c>
      <c r="I24" s="19">
        <f t="shared" si="9"/>
        <v>2.2312499999999997</v>
      </c>
      <c r="J24" s="19">
        <f t="shared" si="11"/>
        <v>58.75471966009864</v>
      </c>
      <c r="K24" s="19">
        <f t="shared" si="10"/>
        <v>64.16012506550405</v>
      </c>
      <c r="M24" s="26"/>
      <c r="N24" s="9">
        <f t="shared" si="1"/>
        <v>0.051173483004932054</v>
      </c>
      <c r="P24" s="9">
        <f t="shared" si="2"/>
        <v>0.1627359830049322</v>
      </c>
      <c r="Q24" s="9">
        <f t="shared" si="3"/>
        <v>0.4330062532752027</v>
      </c>
      <c r="S24" s="55">
        <f>IF(N24="","",SUM($N$16:N24)*$J$11)</f>
        <v>69.78177250961437</v>
      </c>
      <c r="T24" s="55">
        <f>IF(P24="","",SUM($P$16:P24)*$J$11)</f>
        <v>466.15298002196295</v>
      </c>
      <c r="U24" s="55">
        <f>IF(Q24="","",SUM($Q$16:Q24)*$J$11)</f>
        <v>2645.9593134670395</v>
      </c>
      <c r="V24" s="26"/>
    </row>
    <row r="25" spans="1:22" ht="12.75">
      <c r="A25" s="26"/>
      <c r="B25" s="46">
        <f t="shared" si="4"/>
        <v>192.4</v>
      </c>
      <c r="C25" s="47">
        <f t="shared" si="12"/>
        <v>260</v>
      </c>
      <c r="D25" s="38">
        <f t="shared" si="0"/>
        <v>639.8198916712457</v>
      </c>
      <c r="E25" s="4">
        <f t="shared" si="5"/>
        <v>169.512206609624</v>
      </c>
      <c r="F25" s="6">
        <f t="shared" si="6"/>
        <v>17.867116728157725</v>
      </c>
      <c r="G25" s="7">
        <f t="shared" si="7"/>
        <v>3.573423345631545</v>
      </c>
      <c r="H25" s="19">
        <f t="shared" si="8"/>
        <v>57.17477353010473</v>
      </c>
      <c r="I25" s="19">
        <f t="shared" si="9"/>
        <v>2.275</v>
      </c>
      <c r="J25" s="19">
        <f t="shared" si="11"/>
        <v>59.44977353010473</v>
      </c>
      <c r="K25" s="19">
        <f t="shared" si="10"/>
        <v>64.85517893551014</v>
      </c>
      <c r="M25" s="26"/>
      <c r="N25" s="9">
        <f t="shared" si="1"/>
        <v>0.08373867650523685</v>
      </c>
      <c r="P25" s="9">
        <f t="shared" si="2"/>
        <v>0.19748867650523677</v>
      </c>
      <c r="Q25" s="9">
        <f t="shared" si="3"/>
        <v>0.46775894677550733</v>
      </c>
      <c r="S25" s="55">
        <f>IF(N25="","",SUM($N$16:N25)*$J$11)</f>
        <v>153.52044901485124</v>
      </c>
      <c r="T25" s="55">
        <f>IF(P25="","",SUM($P$16:P25)*$J$11)</f>
        <v>663.6416565271996</v>
      </c>
      <c r="U25" s="55">
        <f>IF(Q25="","",SUM($Q$16:Q25)*$J$11)</f>
        <v>3113.7182602425464</v>
      </c>
      <c r="V25" s="26"/>
    </row>
    <row r="26" spans="1:22" ht="12.75">
      <c r="A26" s="26"/>
      <c r="B26" s="46">
        <f t="shared" si="4"/>
        <v>196.1</v>
      </c>
      <c r="C26" s="47">
        <f t="shared" si="12"/>
        <v>265</v>
      </c>
      <c r="D26" s="38">
        <f t="shared" si="0"/>
        <v>657.89054085878</v>
      </c>
      <c r="E26" s="4">
        <f t="shared" si="5"/>
        <v>187.5828557971583</v>
      </c>
      <c r="F26" s="6">
        <f t="shared" si="6"/>
        <v>18.070649187534286</v>
      </c>
      <c r="G26" s="7">
        <f t="shared" si="7"/>
        <v>3.6141298375068573</v>
      </c>
      <c r="H26" s="19">
        <f t="shared" si="8"/>
        <v>57.826077400109725</v>
      </c>
      <c r="I26" s="19">
        <f t="shared" si="9"/>
        <v>2.31875</v>
      </c>
      <c r="J26" s="19">
        <f t="shared" si="11"/>
        <v>60.144827400109726</v>
      </c>
      <c r="K26" s="19">
        <f t="shared" si="10"/>
        <v>65.55023280551514</v>
      </c>
      <c r="M26" s="26"/>
      <c r="N26" s="9">
        <f t="shared" si="1"/>
        <v>0.11630387000548659</v>
      </c>
      <c r="P26" s="9">
        <f t="shared" si="2"/>
        <v>0.23224137000548667</v>
      </c>
      <c r="Q26" s="9">
        <f t="shared" si="3"/>
        <v>0.5025116402757572</v>
      </c>
      <c r="S26" s="55">
        <f>IF(N26="","",SUM($N$16:N26)*$J$11)</f>
        <v>269.82431902033784</v>
      </c>
      <c r="T26" s="55">
        <f>IF(P26="","",SUM($P$16:P26)*$J$11)</f>
        <v>895.8830265326862</v>
      </c>
      <c r="U26" s="55">
        <f>IF(Q26="","",SUM($Q$16:Q26)*$J$11)</f>
        <v>3616.229900518304</v>
      </c>
      <c r="V26" s="26"/>
    </row>
    <row r="27" spans="1:22" ht="12.75">
      <c r="A27" s="26"/>
      <c r="B27" s="46">
        <f t="shared" si="4"/>
        <v>199.8</v>
      </c>
      <c r="C27" s="47">
        <f t="shared" si="12"/>
        <v>270</v>
      </c>
      <c r="D27" s="38">
        <f t="shared" si="0"/>
        <v>676.1647225056911</v>
      </c>
      <c r="E27" s="4">
        <f t="shared" si="5"/>
        <v>205.85703744406936</v>
      </c>
      <c r="F27" s="6">
        <f t="shared" si="6"/>
        <v>18.274181646911074</v>
      </c>
      <c r="G27" s="7">
        <f t="shared" si="7"/>
        <v>3.654836329382215</v>
      </c>
      <c r="H27" s="19">
        <f t="shared" si="8"/>
        <v>58.47738127011544</v>
      </c>
      <c r="I27" s="19">
        <f t="shared" si="9"/>
        <v>2.3625</v>
      </c>
      <c r="J27" s="19">
        <f t="shared" si="11"/>
        <v>60.839881270115434</v>
      </c>
      <c r="K27" s="19">
        <f t="shared" si="10"/>
        <v>66.24528667552084</v>
      </c>
      <c r="M27" s="26"/>
      <c r="N27" s="9">
        <f t="shared" si="1"/>
        <v>0.1488690635057722</v>
      </c>
      <c r="P27" s="9">
        <f t="shared" si="2"/>
        <v>0.26699406350577204</v>
      </c>
      <c r="Q27" s="9">
        <f t="shared" si="3"/>
        <v>0.5372643337760425</v>
      </c>
      <c r="S27" s="55">
        <f>IF(N27="","",SUM($N$16:N27)*$J$11)</f>
        <v>418.69338252611</v>
      </c>
      <c r="T27" s="55">
        <f>IF(P27="","",SUM($P$16:P27)*$J$11)</f>
        <v>1162.8770900384584</v>
      </c>
      <c r="U27" s="55">
        <f>IF(Q27="","",SUM($Q$16:Q27)*$J$11)</f>
        <v>4153.494234294347</v>
      </c>
      <c r="V27" s="26"/>
    </row>
    <row r="28" spans="1:22" ht="12.75">
      <c r="A28" s="26"/>
      <c r="B28" s="46">
        <f t="shared" si="4"/>
        <v>203.5</v>
      </c>
      <c r="C28" s="47">
        <f t="shared" si="12"/>
        <v>275</v>
      </c>
      <c r="D28" s="38">
        <f t="shared" si="0"/>
        <v>694.642436611979</v>
      </c>
      <c r="E28" s="4">
        <f t="shared" si="5"/>
        <v>224.33475155035723</v>
      </c>
      <c r="F28" s="6">
        <f t="shared" si="6"/>
        <v>18.477714106287863</v>
      </c>
      <c r="G28" s="7">
        <f t="shared" si="7"/>
        <v>3.6955428212575727</v>
      </c>
      <c r="H28" s="19">
        <f t="shared" si="8"/>
        <v>59.12868514012116</v>
      </c>
      <c r="I28" s="19">
        <f t="shared" si="9"/>
        <v>2.4062499999999996</v>
      </c>
      <c r="J28" s="19">
        <f t="shared" si="11"/>
        <v>61.53493514012116</v>
      </c>
      <c r="K28" s="19">
        <f t="shared" si="10"/>
        <v>66.94034054552657</v>
      </c>
      <c r="M28" s="26"/>
      <c r="N28" s="9">
        <f t="shared" si="1"/>
        <v>0.18143425700605853</v>
      </c>
      <c r="P28" s="9">
        <f t="shared" si="2"/>
        <v>0.3017467570060585</v>
      </c>
      <c r="Q28" s="9">
        <f t="shared" si="3"/>
        <v>0.5720170272763287</v>
      </c>
      <c r="S28" s="55">
        <f>IF(N28="","",SUM($N$16:N28)*$J$11)</f>
        <v>600.1276395321685</v>
      </c>
      <c r="T28" s="55">
        <f>IF(P28="","",SUM($P$16:P28)*$J$11)</f>
        <v>1464.6238470445169</v>
      </c>
      <c r="U28" s="55">
        <f>IF(Q28="","",SUM($Q$16:Q28)*$J$11)</f>
        <v>4725.511261570676</v>
      </c>
      <c r="V28" s="26"/>
    </row>
    <row r="29" spans="1:22" ht="12.75">
      <c r="A29" s="26"/>
      <c r="B29" s="46">
        <f t="shared" si="4"/>
        <v>207.2</v>
      </c>
      <c r="C29" s="47">
        <f t="shared" si="12"/>
        <v>280</v>
      </c>
      <c r="D29" s="38">
        <f t="shared" si="0"/>
        <v>713.3236831776434</v>
      </c>
      <c r="E29" s="4">
        <f t="shared" si="5"/>
        <v>243.01599811602165</v>
      </c>
      <c r="F29" s="6">
        <f t="shared" si="6"/>
        <v>18.681246565664424</v>
      </c>
      <c r="G29" s="7">
        <f t="shared" si="7"/>
        <v>3.736249313132885</v>
      </c>
      <c r="H29" s="19">
        <f t="shared" si="8"/>
        <v>59.77998901012616</v>
      </c>
      <c r="I29" s="19">
        <f t="shared" si="9"/>
        <v>2.45</v>
      </c>
      <c r="J29" s="19">
        <f t="shared" si="11"/>
        <v>62.22998901012616</v>
      </c>
      <c r="K29" s="19">
        <f t="shared" si="10"/>
        <v>67.63539441553156</v>
      </c>
      <c r="M29" s="26"/>
      <c r="N29" s="9">
        <f t="shared" si="1"/>
        <v>0.21399945050630825</v>
      </c>
      <c r="P29" s="9">
        <f t="shared" si="2"/>
        <v>0.3364994505063084</v>
      </c>
      <c r="Q29" s="9">
        <f t="shared" si="3"/>
        <v>0.6067697207765785</v>
      </c>
      <c r="S29" s="55">
        <f>IF(N29="","",SUM($N$16:N29)*$J$11)</f>
        <v>814.1270900384767</v>
      </c>
      <c r="T29" s="55">
        <f>IF(P29="","",SUM($P$16:P29)*$J$11)</f>
        <v>1801.1232975508253</v>
      </c>
      <c r="U29" s="55">
        <f>IF(Q29="","",SUM($Q$16:Q29)*$J$11)</f>
        <v>5332.280982347254</v>
      </c>
      <c r="V29" s="26"/>
    </row>
    <row r="30" spans="1:22" ht="12.75">
      <c r="A30" s="26"/>
      <c r="B30" s="46">
        <f t="shared" si="4"/>
        <v>210.9</v>
      </c>
      <c r="C30" s="47">
        <f t="shared" si="12"/>
        <v>285</v>
      </c>
      <c r="D30" s="38">
        <f t="shared" si="0"/>
        <v>732.2084622026845</v>
      </c>
      <c r="E30" s="4">
        <f t="shared" si="5"/>
        <v>261.90077714106275</v>
      </c>
      <c r="F30" s="6">
        <f t="shared" si="6"/>
        <v>18.884779025041098</v>
      </c>
      <c r="G30" s="7">
        <f t="shared" si="7"/>
        <v>3.7769558050082197</v>
      </c>
      <c r="H30" s="19">
        <f t="shared" si="8"/>
        <v>60.431292880131515</v>
      </c>
      <c r="I30" s="19">
        <f t="shared" si="9"/>
        <v>2.49375</v>
      </c>
      <c r="J30" s="19">
        <f t="shared" si="11"/>
        <v>62.925042880131514</v>
      </c>
      <c r="K30" s="19">
        <f t="shared" si="10"/>
        <v>68.33044828553692</v>
      </c>
      <c r="M30" s="26"/>
      <c r="N30" s="9">
        <f t="shared" si="1"/>
        <v>0.24656464400657613</v>
      </c>
      <c r="P30" s="9">
        <f t="shared" si="2"/>
        <v>0.371252144006576</v>
      </c>
      <c r="Q30" s="9">
        <f t="shared" si="3"/>
        <v>0.6415224142768463</v>
      </c>
      <c r="S30" s="55">
        <f>IF(N30="","",SUM($N$16:N30)*$J$11)</f>
        <v>1060.6917340450527</v>
      </c>
      <c r="T30" s="55">
        <f>IF(P30="","",SUM($P$16:P30)*$J$11)</f>
        <v>2172.3754415574017</v>
      </c>
      <c r="U30" s="55">
        <f>IF(Q30="","",SUM($Q$16:Q30)*$J$11)</f>
        <v>5973.803396624101</v>
      </c>
      <c r="V30" s="26"/>
    </row>
    <row r="31" spans="1:22" ht="12.75">
      <c r="A31" s="26"/>
      <c r="B31" s="46">
        <f t="shared" si="4"/>
        <v>214.6</v>
      </c>
      <c r="C31" s="47">
        <f t="shared" si="12"/>
        <v>290</v>
      </c>
      <c r="D31" s="38">
        <f t="shared" si="0"/>
        <v>751.2967736871025</v>
      </c>
      <c r="E31" s="4">
        <f t="shared" si="5"/>
        <v>280.98908862548075</v>
      </c>
      <c r="F31" s="6">
        <f t="shared" si="6"/>
        <v>19.088311484418</v>
      </c>
      <c r="G31" s="7">
        <f t="shared" si="7"/>
        <v>3.8176622968836</v>
      </c>
      <c r="H31" s="19">
        <f t="shared" si="8"/>
        <v>61.0825967501376</v>
      </c>
      <c r="I31" s="19">
        <f t="shared" si="9"/>
        <v>2.5375</v>
      </c>
      <c r="J31" s="19">
        <f t="shared" si="11"/>
        <v>63.6200967501376</v>
      </c>
      <c r="K31" s="19">
        <f t="shared" si="10"/>
        <v>69.02550215554301</v>
      </c>
      <c r="M31" s="26"/>
      <c r="N31" s="9">
        <f t="shared" si="1"/>
        <v>0.2791298375068802</v>
      </c>
      <c r="P31" s="9">
        <f t="shared" si="2"/>
        <v>0.40600483750688027</v>
      </c>
      <c r="Q31" s="9">
        <f t="shared" si="3"/>
        <v>0.6762751077771508</v>
      </c>
      <c r="S31" s="55">
        <f>IF(N31="","",SUM($N$16:N31)*$J$11)</f>
        <v>1339.821571551933</v>
      </c>
      <c r="T31" s="55">
        <f>IF(P31="","",SUM($P$16:P31)*$J$11)</f>
        <v>2578.3802790642817</v>
      </c>
      <c r="U31" s="55">
        <f>IF(Q31="","",SUM($Q$16:Q31)*$J$11)</f>
        <v>6650.078504401252</v>
      </c>
      <c r="V31" s="26"/>
    </row>
    <row r="32" spans="1:22" ht="12.75">
      <c r="A32" s="26"/>
      <c r="B32" s="46">
        <f t="shared" si="4"/>
        <v>218.3</v>
      </c>
      <c r="C32" s="47">
        <f t="shared" si="12"/>
        <v>295</v>
      </c>
      <c r="D32" s="38">
        <f t="shared" si="0"/>
        <v>770.588617630897</v>
      </c>
      <c r="E32" s="4">
        <f t="shared" si="5"/>
        <v>300.2809325692753</v>
      </c>
      <c r="F32" s="6">
        <f t="shared" si="6"/>
        <v>19.29184394379456</v>
      </c>
      <c r="G32" s="7">
        <f t="shared" si="7"/>
        <v>3.858368788758912</v>
      </c>
      <c r="H32" s="19">
        <f t="shared" si="8"/>
        <v>61.73390062014259</v>
      </c>
      <c r="I32" s="19">
        <f t="shared" si="9"/>
        <v>2.58125</v>
      </c>
      <c r="J32" s="19">
        <f t="shared" si="11"/>
        <v>64.31515062014259</v>
      </c>
      <c r="K32" s="19">
        <f t="shared" si="10"/>
        <v>69.72055602554799</v>
      </c>
      <c r="M32" s="26"/>
      <c r="N32" s="9">
        <f>IF(H32&lt;($L$8*100),"",(H32-$L$8*100)*5/100)</f>
        <v>0.3116950310071299</v>
      </c>
      <c r="P32" s="9">
        <f t="shared" si="2"/>
        <v>0.4407575310071298</v>
      </c>
      <c r="Q32" s="9">
        <f t="shared" si="3"/>
        <v>0.7110278012774001</v>
      </c>
      <c r="S32" s="55">
        <f>IF(N32="","",SUM($N$16:N32)*$J$11)</f>
        <v>1651.5166025590631</v>
      </c>
      <c r="T32" s="55">
        <f>IF(P32="","",SUM($P$16:P32)*$J$11)</f>
        <v>3019.1378100714114</v>
      </c>
      <c r="U32" s="55">
        <f>IF(Q32="","",SUM($Q$16:Q32)*$J$11)</f>
        <v>7361.106305678652</v>
      </c>
      <c r="V32" s="26"/>
    </row>
    <row r="33" spans="1:22" ht="12.75">
      <c r="A33" s="26"/>
      <c r="B33" s="46">
        <f t="shared" si="4"/>
        <v>222</v>
      </c>
      <c r="C33" s="47">
        <f>C32+5</f>
        <v>300</v>
      </c>
      <c r="D33" s="38">
        <f t="shared" si="0"/>
        <v>790.0839940340686</v>
      </c>
      <c r="E33" s="4">
        <f t="shared" si="5"/>
        <v>319.7763089724469</v>
      </c>
      <c r="F33" s="6">
        <f>D33-D32</f>
        <v>19.495376403171576</v>
      </c>
      <c r="G33" s="7">
        <f>F33/(C33-C32)</f>
        <v>3.899075280634315</v>
      </c>
      <c r="H33" s="19">
        <f t="shared" si="8"/>
        <v>62.38520449014905</v>
      </c>
      <c r="I33" s="19">
        <f t="shared" si="9"/>
        <v>2.6249999999999996</v>
      </c>
      <c r="J33" s="19">
        <f t="shared" si="11"/>
        <v>65.01020449014905</v>
      </c>
      <c r="K33" s="19">
        <f t="shared" si="10"/>
        <v>70.41560989555445</v>
      </c>
      <c r="M33" s="26"/>
      <c r="N33" s="9">
        <f>IF(H33&lt;($L$8*100),"",(H33-$L$8*100)*5/100)</f>
        <v>0.34426022450745286</v>
      </c>
      <c r="O33" s="9"/>
      <c r="P33" s="9">
        <f>IF(J33&lt;($L$8*100),"",(J33-$L$8*100)*5/100)</f>
        <v>0.47551022450745284</v>
      </c>
      <c r="Q33" s="9">
        <f>IF(K33&lt;($L$8*100),"",(K33-$L$8*100)*5/100)</f>
        <v>0.7457804947777231</v>
      </c>
      <c r="S33" s="55">
        <f>IF(N33="","",SUM($N$16:N33)*$J$11)</f>
        <v>1995.776827066516</v>
      </c>
      <c r="T33" s="55">
        <f>IF(P33="","",SUM($P$16:P33)*$J$11)</f>
        <v>3494.6480345788646</v>
      </c>
      <c r="U33" s="55">
        <f>IF(Q33="","",SUM($Q$16:Q33)*$J$11)</f>
        <v>8106.886800456375</v>
      </c>
      <c r="V33" s="26"/>
    </row>
    <row r="34" spans="1:22" ht="12.75">
      <c r="A34" s="26"/>
      <c r="B34" s="26"/>
      <c r="C34" s="26"/>
      <c r="D34" s="26"/>
      <c r="E34" s="26"/>
      <c r="F34" s="26"/>
      <c r="G34" s="26"/>
      <c r="H34" s="26"/>
      <c r="I34" s="26"/>
      <c r="J34" s="26"/>
      <c r="K34" s="26"/>
      <c r="L34" s="26"/>
      <c r="M34" s="26"/>
      <c r="N34" s="26"/>
      <c r="O34" s="26"/>
      <c r="P34" s="26"/>
      <c r="Q34" s="26"/>
      <c r="R34" s="26"/>
      <c r="S34" s="26"/>
      <c r="T34" s="26"/>
      <c r="U34" s="26"/>
      <c r="V34" s="26"/>
    </row>
    <row r="35" spans="1:22" ht="12.75">
      <c r="A35" s="26"/>
      <c r="B35" s="63" t="s">
        <v>69</v>
      </c>
      <c r="C35" s="63"/>
      <c r="D35" s="63"/>
      <c r="E35" s="26"/>
      <c r="F35" s="26"/>
      <c r="G35" s="26"/>
      <c r="H35" s="63" t="s">
        <v>70</v>
      </c>
      <c r="I35" s="63"/>
      <c r="J35" s="63"/>
      <c r="K35" s="63"/>
      <c r="L35" s="26"/>
      <c r="M35" s="26"/>
      <c r="N35" s="26"/>
      <c r="O35" s="26"/>
      <c r="P35" s="26"/>
      <c r="Q35" s="26"/>
      <c r="R35" s="26"/>
      <c r="S35" s="26"/>
      <c r="T35" s="63"/>
      <c r="U35" s="63"/>
      <c r="V35" s="26"/>
    </row>
    <row r="36" spans="1:22" ht="12.75">
      <c r="A36" s="26"/>
      <c r="B36" s="26"/>
      <c r="C36" s="26"/>
      <c r="D36" s="26"/>
      <c r="E36" s="26"/>
      <c r="F36" s="26"/>
      <c r="G36" s="26"/>
      <c r="H36" s="63" t="s">
        <v>71</v>
      </c>
      <c r="I36" s="63"/>
      <c r="J36" s="63"/>
      <c r="K36" s="63"/>
      <c r="L36" s="26"/>
      <c r="M36" s="26"/>
      <c r="N36" s="26"/>
      <c r="O36" s="26"/>
      <c r="P36" s="26"/>
      <c r="Q36" s="26"/>
      <c r="R36" s="26"/>
      <c r="S36" s="26"/>
      <c r="T36" s="63"/>
      <c r="U36" s="63"/>
      <c r="V36" s="26"/>
    </row>
    <row r="37" spans="1:22" ht="12.75">
      <c r="A37" s="26"/>
      <c r="B37" s="26"/>
      <c r="C37" s="26"/>
      <c r="D37" s="26"/>
      <c r="E37" s="26"/>
      <c r="F37" s="26"/>
      <c r="G37" s="26"/>
      <c r="H37" s="26"/>
      <c r="I37" s="26"/>
      <c r="J37" s="26"/>
      <c r="K37" s="26"/>
      <c r="L37" s="26"/>
      <c r="M37" s="26"/>
      <c r="N37" s="26"/>
      <c r="O37" s="26"/>
      <c r="P37" s="26"/>
      <c r="Q37" s="26"/>
      <c r="R37" s="26"/>
      <c r="S37" s="26"/>
      <c r="T37" s="63"/>
      <c r="U37" s="63"/>
      <c r="V37" s="26"/>
    </row>
    <row r="38" spans="1:22" ht="12.75">
      <c r="A38" s="26"/>
      <c r="B38" s="26"/>
      <c r="C38" s="26"/>
      <c r="D38" s="26"/>
      <c r="E38" s="26"/>
      <c r="F38" s="26"/>
      <c r="G38" s="26"/>
      <c r="H38" s="26"/>
      <c r="I38" s="26"/>
      <c r="J38" s="26"/>
      <c r="K38" s="26"/>
      <c r="L38" s="26"/>
      <c r="M38" s="26"/>
      <c r="N38" s="26"/>
      <c r="O38" s="26"/>
      <c r="P38" s="26"/>
      <c r="Q38" s="26"/>
      <c r="R38" s="26"/>
      <c r="S38" s="26"/>
      <c r="T38" s="63"/>
      <c r="U38" s="63"/>
      <c r="V38" s="26"/>
    </row>
    <row r="39" spans="1:22" ht="12.75">
      <c r="A39" s="26"/>
      <c r="B39" s="26"/>
      <c r="C39" s="26"/>
      <c r="D39" s="26"/>
      <c r="E39" s="26"/>
      <c r="F39" s="26"/>
      <c r="G39" s="26"/>
      <c r="H39" s="26"/>
      <c r="I39" s="26"/>
      <c r="J39" s="26"/>
      <c r="K39" s="26"/>
      <c r="L39" s="26"/>
      <c r="M39" s="26"/>
      <c r="N39" s="26"/>
      <c r="O39" s="26"/>
      <c r="P39" s="26"/>
      <c r="Q39" s="26"/>
      <c r="R39" s="26"/>
      <c r="S39" s="26"/>
      <c r="T39" s="63"/>
      <c r="U39" s="63"/>
      <c r="V39" s="26"/>
    </row>
    <row r="40" spans="1:22" ht="12.75">
      <c r="A40" s="26"/>
      <c r="B40" s="26"/>
      <c r="C40" s="26"/>
      <c r="D40" s="26"/>
      <c r="E40" s="26"/>
      <c r="F40" s="26"/>
      <c r="G40" s="26"/>
      <c r="H40" s="26"/>
      <c r="I40" s="26"/>
      <c r="J40" s="26"/>
      <c r="K40" s="26"/>
      <c r="L40" s="26"/>
      <c r="M40" s="26"/>
      <c r="N40" s="26"/>
      <c r="O40" s="26"/>
      <c r="P40" s="26"/>
      <c r="Q40" s="26"/>
      <c r="R40" s="26"/>
      <c r="S40" s="26"/>
      <c r="T40" s="26"/>
      <c r="U40" s="26"/>
      <c r="V40" s="26"/>
    </row>
    <row r="41" spans="1:22" ht="12.75">
      <c r="A41" s="26"/>
      <c r="B41" s="26"/>
      <c r="C41" s="26"/>
      <c r="D41" s="26"/>
      <c r="E41" s="26"/>
      <c r="F41" s="26"/>
      <c r="G41" s="26"/>
      <c r="H41" s="26"/>
      <c r="I41" s="26"/>
      <c r="J41" s="26"/>
      <c r="K41" s="26"/>
      <c r="L41" s="26"/>
      <c r="M41" s="26"/>
      <c r="N41" s="26"/>
      <c r="O41" s="26"/>
      <c r="P41" s="26"/>
      <c r="Q41" s="26"/>
      <c r="R41" s="26"/>
      <c r="S41" s="26"/>
      <c r="T41" s="26"/>
      <c r="U41" s="26"/>
      <c r="V41" s="26"/>
    </row>
    <row r="42" spans="1:22" ht="12.75">
      <c r="A42" s="26"/>
      <c r="B42" s="26"/>
      <c r="C42" s="26"/>
      <c r="D42" s="26"/>
      <c r="E42" s="26"/>
      <c r="F42" s="26"/>
      <c r="G42" s="26"/>
      <c r="H42" s="26"/>
      <c r="I42" s="26"/>
      <c r="J42" s="26"/>
      <c r="K42" s="26"/>
      <c r="L42" s="26"/>
      <c r="M42" s="26"/>
      <c r="N42" s="26"/>
      <c r="O42" s="26"/>
      <c r="P42" s="26"/>
      <c r="Q42" s="26"/>
      <c r="R42" s="26"/>
      <c r="S42" s="26"/>
      <c r="T42" s="26"/>
      <c r="U42" s="26"/>
      <c r="V42" s="26"/>
    </row>
    <row r="43" spans="1:22" ht="12.75">
      <c r="A43" s="26"/>
      <c r="B43" s="26"/>
      <c r="C43" s="26"/>
      <c r="D43" s="26"/>
      <c r="E43" s="26"/>
      <c r="F43" s="26"/>
      <c r="G43" s="26"/>
      <c r="H43" s="26"/>
      <c r="I43" s="26"/>
      <c r="J43" s="26"/>
      <c r="K43" s="26"/>
      <c r="L43" s="26"/>
      <c r="M43" s="26"/>
      <c r="N43" s="26"/>
      <c r="O43" s="26"/>
      <c r="P43" s="26"/>
      <c r="Q43" s="26"/>
      <c r="R43" s="26"/>
      <c r="S43" s="26"/>
      <c r="T43" s="26"/>
      <c r="U43" s="26"/>
      <c r="V43" s="26"/>
    </row>
    <row r="44" spans="1:22" ht="12.75">
      <c r="A44" s="26"/>
      <c r="B44" s="26"/>
      <c r="C44" s="26"/>
      <c r="D44" s="26"/>
      <c r="E44" s="26"/>
      <c r="F44" s="26"/>
      <c r="G44" s="26"/>
      <c r="H44" s="26"/>
      <c r="I44" s="26"/>
      <c r="J44" s="26"/>
      <c r="K44" s="26"/>
      <c r="L44" s="26"/>
      <c r="M44" s="26"/>
      <c r="N44" s="26"/>
      <c r="O44" s="26"/>
      <c r="P44" s="26"/>
      <c r="Q44" s="26"/>
      <c r="R44" s="26"/>
      <c r="S44" s="26"/>
      <c r="T44" s="26"/>
      <c r="U44" s="26"/>
      <c r="V44" s="26"/>
    </row>
    <row r="45" spans="1:22" ht="12.75">
      <c r="A45" s="26"/>
      <c r="B45" s="26"/>
      <c r="C45" s="26"/>
      <c r="D45" s="26"/>
      <c r="E45" s="26"/>
      <c r="F45" s="26"/>
      <c r="G45" s="26"/>
      <c r="H45" s="26"/>
      <c r="I45" s="26"/>
      <c r="J45" s="26"/>
      <c r="K45" s="26"/>
      <c r="L45" s="26"/>
      <c r="M45" s="26"/>
      <c r="N45" s="26"/>
      <c r="O45" s="26"/>
      <c r="P45" s="26"/>
      <c r="Q45" s="26"/>
      <c r="R45" s="26"/>
      <c r="S45" s="26"/>
      <c r="T45" s="26"/>
      <c r="U45" s="26"/>
      <c r="V45" s="26"/>
    </row>
    <row r="46" spans="3:7" ht="12.75">
      <c r="C46" s="4"/>
      <c r="D46" s="4"/>
      <c r="E46" s="4"/>
      <c r="F46" s="6"/>
      <c r="G46" s="7"/>
    </row>
    <row r="47" spans="3:7" ht="12.75">
      <c r="C47" s="4"/>
      <c r="D47" s="4"/>
      <c r="E47" s="4"/>
      <c r="F47" s="6"/>
      <c r="G47" s="7"/>
    </row>
    <row r="48" spans="3:7" ht="12.75">
      <c r="C48" s="4"/>
      <c r="D48" s="4"/>
      <c r="E48" s="4"/>
      <c r="F48" s="6"/>
      <c r="G48" s="7"/>
    </row>
    <row r="49" spans="3:7" ht="12.75">
      <c r="C49" s="4"/>
      <c r="D49" s="4"/>
      <c r="E49" s="4"/>
      <c r="F49" s="6"/>
      <c r="G49" s="7"/>
    </row>
    <row r="50" spans="3:7" ht="12.75">
      <c r="C50" s="4"/>
      <c r="D50" s="4"/>
      <c r="E50" s="4"/>
      <c r="F50" s="6"/>
      <c r="G50" s="7"/>
    </row>
    <row r="51" spans="3:7" ht="12.75">
      <c r="C51" s="4"/>
      <c r="D51" s="4"/>
      <c r="E51" s="4"/>
      <c r="F51" s="6"/>
      <c r="G51" s="7"/>
    </row>
    <row r="52" spans="3:7" ht="12.75">
      <c r="C52" s="4"/>
      <c r="D52" s="4"/>
      <c r="E52" s="4"/>
      <c r="F52" s="6"/>
      <c r="G52" s="7"/>
    </row>
    <row r="53" spans="3:7" ht="12.75">
      <c r="C53" s="4"/>
      <c r="D53" s="4"/>
      <c r="E53" s="4"/>
      <c r="F53" s="6"/>
      <c r="G53" s="7"/>
    </row>
    <row r="54" spans="3:7" ht="12.75">
      <c r="C54" s="4"/>
      <c r="D54" s="4"/>
      <c r="E54" s="4"/>
      <c r="F54" s="6"/>
      <c r="G54" s="7"/>
    </row>
    <row r="55" spans="3:7" ht="12.75">
      <c r="C55" s="4"/>
      <c r="D55" s="4"/>
      <c r="E55" s="4"/>
      <c r="F55" s="6"/>
      <c r="G55" s="7"/>
    </row>
    <row r="56" spans="3:7" ht="12.75">
      <c r="C56" s="4"/>
      <c r="D56" s="4"/>
      <c r="E56" s="4"/>
      <c r="F56" s="6"/>
      <c r="G56" s="7"/>
    </row>
    <row r="57" spans="3:7" ht="12.75">
      <c r="C57" s="4"/>
      <c r="D57" s="4"/>
      <c r="E57" s="4"/>
      <c r="F57" s="6"/>
      <c r="G57" s="7"/>
    </row>
    <row r="58" spans="3:7" ht="12.75">
      <c r="C58" s="4"/>
      <c r="D58" s="4"/>
      <c r="E58" s="4"/>
      <c r="F58" s="6"/>
      <c r="G58" s="7"/>
    </row>
    <row r="59" spans="3:7" ht="12.75">
      <c r="C59" s="4"/>
      <c r="D59" s="4"/>
      <c r="E59" s="4"/>
      <c r="F59" s="6"/>
      <c r="G59" s="7"/>
    </row>
    <row r="60" spans="3:7" ht="12.75">
      <c r="C60" s="4"/>
      <c r="D60" s="4"/>
      <c r="E60" s="4"/>
      <c r="F60" s="6"/>
      <c r="G60" s="7"/>
    </row>
    <row r="61" spans="3:7" ht="12.75">
      <c r="C61" s="4"/>
      <c r="D61" s="4"/>
      <c r="E61" s="4"/>
      <c r="F61" s="6"/>
      <c r="G61" s="7"/>
    </row>
    <row r="62" spans="3:7" ht="12.75">
      <c r="C62" s="4"/>
      <c r="D62" s="4"/>
      <c r="E62" s="4"/>
      <c r="F62" s="6"/>
      <c r="G62" s="7"/>
    </row>
    <row r="63" spans="3:7" ht="12.75">
      <c r="C63" s="4"/>
      <c r="D63" s="4"/>
      <c r="E63" s="4"/>
      <c r="F63" s="6"/>
      <c r="G63" s="7"/>
    </row>
    <row r="64" spans="3:7" ht="12.75">
      <c r="C64" s="4"/>
      <c r="D64" s="4"/>
      <c r="E64" s="4"/>
      <c r="F64" s="6"/>
      <c r="G64" s="7"/>
    </row>
    <row r="65" spans="3:7" ht="12.75">
      <c r="C65" s="4"/>
      <c r="D65" s="4"/>
      <c r="E65" s="4"/>
      <c r="F65" s="6"/>
      <c r="G65" s="7"/>
    </row>
    <row r="66" spans="3:7" ht="12.75">
      <c r="C66" s="4"/>
      <c r="D66" s="4"/>
      <c r="E66" s="4"/>
      <c r="F66" s="6"/>
      <c r="G66" s="7"/>
    </row>
    <row r="67" spans="3:7" ht="12.75">
      <c r="C67" s="4"/>
      <c r="D67" s="4"/>
      <c r="E67" s="4"/>
      <c r="F67" s="6"/>
      <c r="G67" s="7"/>
    </row>
    <row r="68" spans="3:7" ht="12.75">
      <c r="C68" s="4"/>
      <c r="D68" s="4"/>
      <c r="E68" s="4"/>
      <c r="F68" s="6"/>
      <c r="G68" s="7"/>
    </row>
    <row r="69" spans="3:7" ht="12.75">
      <c r="C69" s="4"/>
      <c r="D69" s="4"/>
      <c r="E69" s="4"/>
      <c r="F69" s="6"/>
      <c r="G69" s="7"/>
    </row>
    <row r="70" spans="3:7" ht="12.75">
      <c r="C70" s="4"/>
      <c r="D70" s="4"/>
      <c r="E70" s="4"/>
      <c r="F70" s="6"/>
      <c r="G70" s="7"/>
    </row>
    <row r="71" spans="3:7" ht="12.75">
      <c r="C71" s="4"/>
      <c r="D71" s="4"/>
      <c r="E71" s="4"/>
      <c r="F71" s="6"/>
      <c r="G71" s="7"/>
    </row>
    <row r="72" spans="3:7" ht="12.75">
      <c r="C72" s="4"/>
      <c r="D72" s="4"/>
      <c r="E72" s="4"/>
      <c r="F72" s="6"/>
      <c r="G72" s="7"/>
    </row>
    <row r="73" spans="3:7" ht="12.75">
      <c r="C73" s="4"/>
      <c r="D73" s="4"/>
      <c r="E73" s="4"/>
      <c r="F73" s="6"/>
      <c r="G73" s="7"/>
    </row>
    <row r="74" spans="3:7" ht="12.75">
      <c r="C74" s="4"/>
      <c r="D74" s="4"/>
      <c r="E74" s="4"/>
      <c r="F74" s="6"/>
      <c r="G74" s="7"/>
    </row>
    <row r="75" spans="3:7" ht="12.75">
      <c r="C75" s="4"/>
      <c r="D75" s="4"/>
      <c r="E75" s="4"/>
      <c r="F75" s="6"/>
      <c r="G75" s="7"/>
    </row>
    <row r="76" spans="3:7" ht="12.75">
      <c r="C76" s="4"/>
      <c r="D76" s="4"/>
      <c r="E76" s="4"/>
      <c r="F76" s="6"/>
      <c r="G76" s="7"/>
    </row>
    <row r="77" spans="3:7" ht="12.75">
      <c r="C77" s="4"/>
      <c r="D77" s="4"/>
      <c r="E77" s="4"/>
      <c r="F77" s="6"/>
      <c r="G77" s="7"/>
    </row>
    <row r="78" spans="3:7" ht="12.75">
      <c r="C78" s="4"/>
      <c r="D78" s="4"/>
      <c r="E78" s="4"/>
      <c r="F78" s="6"/>
      <c r="G78" s="7"/>
    </row>
    <row r="79" spans="3:7" ht="12.75">
      <c r="C79" s="4"/>
      <c r="D79" s="4"/>
      <c r="E79" s="4"/>
      <c r="F79" s="6"/>
      <c r="G79" s="7"/>
    </row>
    <row r="80" spans="3:7" ht="12.75">
      <c r="C80" s="4"/>
      <c r="D80" s="4"/>
      <c r="E80" s="4"/>
      <c r="F80" s="6"/>
      <c r="G80" s="7"/>
    </row>
    <row r="81" spans="3:7" ht="12.75">
      <c r="C81" s="4"/>
      <c r="D81" s="4"/>
      <c r="E81" s="4"/>
      <c r="F81" s="6"/>
      <c r="G81" s="7"/>
    </row>
    <row r="82" spans="3:7" ht="12.75">
      <c r="C82" s="4"/>
      <c r="D82" s="4"/>
      <c r="E82" s="4"/>
      <c r="F82" s="6"/>
      <c r="G82" s="7"/>
    </row>
    <row r="83" spans="3:7" ht="12.75">
      <c r="C83" s="4"/>
      <c r="D83" s="4"/>
      <c r="E83" s="4"/>
      <c r="F83" s="6"/>
      <c r="G83" s="7"/>
    </row>
    <row r="84" spans="3:7" ht="12.75">
      <c r="C84" s="4"/>
      <c r="D84" s="4"/>
      <c r="E84" s="4"/>
      <c r="F84" s="6"/>
      <c r="G84" s="7"/>
    </row>
    <row r="85" spans="3:7" ht="12.75">
      <c r="C85" s="4"/>
      <c r="D85" s="4"/>
      <c r="E85" s="4"/>
      <c r="F85" s="6"/>
      <c r="G85" s="7"/>
    </row>
    <row r="86" spans="3:7" ht="12.75">
      <c r="C86" s="4"/>
      <c r="D86" s="4"/>
      <c r="E86" s="4"/>
      <c r="F86" s="6"/>
      <c r="G86" s="7"/>
    </row>
    <row r="87" spans="3:7" ht="12.75">
      <c r="C87" s="4"/>
      <c r="D87" s="4"/>
      <c r="E87" s="4"/>
      <c r="F87" s="6"/>
      <c r="G87" s="7"/>
    </row>
    <row r="88" spans="3:7" ht="12.75">
      <c r="C88" s="4"/>
      <c r="D88" s="4"/>
      <c r="E88" s="4"/>
      <c r="F88" s="6"/>
      <c r="G88" s="7"/>
    </row>
    <row r="89" spans="3:7" ht="12.75">
      <c r="C89" s="4"/>
      <c r="D89" s="4"/>
      <c r="E89" s="4"/>
      <c r="F89" s="6"/>
      <c r="G89" s="7"/>
    </row>
    <row r="90" spans="3:7" ht="12.75">
      <c r="C90" s="4"/>
      <c r="D90" s="4"/>
      <c r="E90" s="4"/>
      <c r="F90" s="6"/>
      <c r="G90" s="7"/>
    </row>
    <row r="91" spans="3:7" ht="12.75">
      <c r="C91" s="4"/>
      <c r="D91" s="4"/>
      <c r="E91" s="4"/>
      <c r="F91" s="6"/>
      <c r="G91" s="7"/>
    </row>
    <row r="92" spans="3:7" ht="12.75">
      <c r="C92" s="4"/>
      <c r="D92" s="4"/>
      <c r="E92" s="4"/>
      <c r="F92" s="6"/>
      <c r="G92" s="7"/>
    </row>
    <row r="93" spans="3:7" ht="12.75">
      <c r="C93" s="4"/>
      <c r="D93" s="4"/>
      <c r="E93" s="4"/>
      <c r="F93" s="6"/>
      <c r="G93" s="7"/>
    </row>
    <row r="94" spans="3:7" ht="12.75">
      <c r="C94" s="4"/>
      <c r="D94" s="4"/>
      <c r="E94" s="4"/>
      <c r="F94" s="6"/>
      <c r="G94" s="7"/>
    </row>
    <row r="95" spans="3:7" ht="12.75">
      <c r="C95" s="4"/>
      <c r="D95" s="4"/>
      <c r="E95" s="4"/>
      <c r="F95" s="6"/>
      <c r="G95" s="7"/>
    </row>
    <row r="96" spans="3:7" ht="12.75">
      <c r="C96" s="4"/>
      <c r="D96" s="4"/>
      <c r="E96" s="4"/>
      <c r="F96" s="6"/>
      <c r="G96" s="7"/>
    </row>
    <row r="97" spans="3:7" ht="12.75">
      <c r="C97" s="4"/>
      <c r="D97" s="4"/>
      <c r="E97" s="4"/>
      <c r="F97" s="6"/>
      <c r="G97" s="7"/>
    </row>
    <row r="98" spans="3:7" ht="12.75">
      <c r="C98" s="4"/>
      <c r="D98" s="4"/>
      <c r="E98" s="4"/>
      <c r="F98" s="6"/>
      <c r="G98" s="7"/>
    </row>
    <row r="99" spans="3:7" ht="12.75">
      <c r="C99" s="4"/>
      <c r="D99" s="4"/>
      <c r="E99" s="4"/>
      <c r="F99" s="6"/>
      <c r="G99" s="7"/>
    </row>
    <row r="100" spans="3:7" ht="12.75">
      <c r="C100" s="4"/>
      <c r="D100" s="4"/>
      <c r="E100" s="4"/>
      <c r="F100" s="6"/>
      <c r="G100" s="7"/>
    </row>
    <row r="101" spans="3:7" ht="12.75">
      <c r="C101" s="4"/>
      <c r="D101" s="4"/>
      <c r="E101" s="4"/>
      <c r="F101" s="6"/>
      <c r="G101" s="7"/>
    </row>
    <row r="102" spans="3:7" ht="12.75">
      <c r="C102" s="4"/>
      <c r="D102" s="4"/>
      <c r="E102" s="4"/>
      <c r="F102" s="6"/>
      <c r="G102" s="7"/>
    </row>
    <row r="103" spans="3:7" ht="12.75">
      <c r="C103" s="4"/>
      <c r="D103" s="4"/>
      <c r="E103" s="4"/>
      <c r="F103" s="6"/>
      <c r="G103" s="7"/>
    </row>
    <row r="104" spans="3:7" ht="12.75">
      <c r="C104" s="4"/>
      <c r="D104" s="4"/>
      <c r="E104" s="4"/>
      <c r="F104" s="6"/>
      <c r="G104" s="7"/>
    </row>
    <row r="105" spans="3:7" ht="12.75">
      <c r="C105" s="4"/>
      <c r="D105" s="4"/>
      <c r="E105" s="4"/>
      <c r="F105" s="6"/>
      <c r="G105" s="7"/>
    </row>
    <row r="106" spans="3:7" ht="12.75">
      <c r="C106" s="4"/>
      <c r="D106" s="4"/>
      <c r="E106" s="4"/>
      <c r="F106" s="6"/>
      <c r="G106" s="7"/>
    </row>
    <row r="107" spans="3:7" ht="12.75">
      <c r="C107" s="4"/>
      <c r="D107" s="4"/>
      <c r="E107" s="4"/>
      <c r="F107" s="6"/>
      <c r="G107" s="7"/>
    </row>
    <row r="108" spans="3:7" ht="12.75">
      <c r="C108" s="4"/>
      <c r="D108" s="4"/>
      <c r="E108" s="4"/>
      <c r="F108" s="6"/>
      <c r="G108" s="7"/>
    </row>
    <row r="109" spans="3:7" ht="12.75">
      <c r="C109" s="4"/>
      <c r="D109" s="4"/>
      <c r="E109" s="4"/>
      <c r="F109" s="6"/>
      <c r="G109" s="7"/>
    </row>
    <row r="110" spans="3:7" ht="12.75">
      <c r="C110" s="4"/>
      <c r="D110" s="4"/>
      <c r="E110" s="4"/>
      <c r="F110" s="6"/>
      <c r="G110" s="7"/>
    </row>
    <row r="111" spans="3:7" ht="12.75">
      <c r="C111" s="4"/>
      <c r="D111" s="4"/>
      <c r="E111" s="4"/>
      <c r="F111" s="6"/>
      <c r="G111" s="7"/>
    </row>
    <row r="112" spans="3:7" ht="12.75">
      <c r="C112" s="4"/>
      <c r="D112" s="4"/>
      <c r="E112" s="4"/>
      <c r="F112" s="6"/>
      <c r="G112" s="7"/>
    </row>
    <row r="113" spans="3:7" ht="12.75">
      <c r="C113" s="4"/>
      <c r="D113" s="4"/>
      <c r="E113" s="4"/>
      <c r="F113" s="6"/>
      <c r="G113" s="7"/>
    </row>
    <row r="114" spans="3:7" ht="12.75">
      <c r="C114" s="4"/>
      <c r="D114" s="4"/>
      <c r="E114" s="4"/>
      <c r="F114" s="6"/>
      <c r="G114" s="7"/>
    </row>
    <row r="115" spans="3:7" ht="12.75">
      <c r="C115" s="4"/>
      <c r="D115" s="4"/>
      <c r="E115" s="4"/>
      <c r="F115" s="6"/>
      <c r="G115" s="7"/>
    </row>
    <row r="116" spans="3:7" ht="12.75">
      <c r="C116" s="4"/>
      <c r="D116" s="4"/>
      <c r="E116" s="4"/>
      <c r="F116" s="6"/>
      <c r="G116" s="7"/>
    </row>
    <row r="117" spans="3:7" ht="12.75">
      <c r="C117" s="4"/>
      <c r="D117" s="4"/>
      <c r="E117" s="4"/>
      <c r="F117" s="6"/>
      <c r="G117" s="7"/>
    </row>
    <row r="118" spans="3:7" ht="12.75">
      <c r="C118" s="4"/>
      <c r="D118" s="4"/>
      <c r="E118" s="4"/>
      <c r="F118" s="6"/>
      <c r="G118" s="7"/>
    </row>
    <row r="119" spans="3:7" ht="12.75">
      <c r="C119" s="4"/>
      <c r="D119" s="4"/>
      <c r="E119" s="4"/>
      <c r="F119" s="6"/>
      <c r="G119" s="7"/>
    </row>
    <row r="120" spans="3:7" ht="12.75">
      <c r="C120" s="4"/>
      <c r="D120" s="4"/>
      <c r="E120" s="4"/>
      <c r="F120" s="6"/>
      <c r="G120" s="7"/>
    </row>
    <row r="121" spans="3:7" ht="12.75">
      <c r="C121" s="4"/>
      <c r="D121" s="4"/>
      <c r="E121" s="4"/>
      <c r="F121" s="6"/>
      <c r="G121" s="7"/>
    </row>
    <row r="122" spans="3:7" ht="12.75">
      <c r="C122" s="4"/>
      <c r="D122" s="4"/>
      <c r="E122" s="4"/>
      <c r="F122" s="6"/>
      <c r="G122" s="7"/>
    </row>
    <row r="123" spans="3:7" ht="12.75">
      <c r="C123" s="4"/>
      <c r="D123" s="4"/>
      <c r="E123" s="4"/>
      <c r="F123" s="6"/>
      <c r="G123" s="7"/>
    </row>
    <row r="124" spans="3:7" ht="12.75">
      <c r="C124" s="4"/>
      <c r="D124" s="4"/>
      <c r="E124" s="4"/>
      <c r="F124" s="6"/>
      <c r="G124" s="7"/>
    </row>
    <row r="125" spans="3:7" ht="12.75">
      <c r="C125" s="4"/>
      <c r="D125" s="4"/>
      <c r="E125" s="4"/>
      <c r="F125" s="6"/>
      <c r="G125" s="7"/>
    </row>
  </sheetData>
  <sheetProtection sheet="1"/>
  <conditionalFormatting sqref="H16:K33">
    <cfRule type="cellIs" priority="4" dxfId="2" operator="greaterThan" stopIfTrue="1">
      <formula>$J$7*0.75*100</formula>
    </cfRule>
  </conditionalFormatting>
  <conditionalFormatting sqref="S15:U33">
    <cfRule type="cellIs" priority="1" dxfId="3" operator="lessThan" stopIfTrue="1">
      <formula>0.01</formula>
    </cfRule>
  </conditionalFormatting>
  <printOptions/>
  <pageMargins left="0.75" right="0.75" top="1" bottom="1" header="0.5" footer="0.5"/>
  <pageSetup fitToHeight="1" fitToWidth="1" horizontalDpi="600" verticalDpi="600" orientation="landscape" scale="86" r:id="rId4"/>
  <drawing r:id="rId3"/>
  <legacyDrawing r:id="rId2"/>
</worksheet>
</file>

<file path=xl/worksheets/sheet3.xml><?xml version="1.0" encoding="utf-8"?>
<worksheet xmlns="http://schemas.openxmlformats.org/spreadsheetml/2006/main" xmlns:r="http://schemas.openxmlformats.org/officeDocument/2006/relationships">
  <dimension ref="A1:V13"/>
  <sheetViews>
    <sheetView zoomScalePageLayoutView="0" workbookViewId="0" topLeftCell="B1">
      <selection activeCell="A1" sqref="A1"/>
    </sheetView>
  </sheetViews>
  <sheetFormatPr defaultColWidth="9.140625" defaultRowHeight="15"/>
  <cols>
    <col min="1" max="1" width="8.00390625" style="0" bestFit="1" customWidth="1"/>
  </cols>
  <sheetData>
    <row r="1" spans="1:17" ht="15">
      <c r="A1" s="9" t="s">
        <v>10</v>
      </c>
      <c r="B1" s="1">
        <v>0.8</v>
      </c>
      <c r="C1" s="1">
        <v>0.66</v>
      </c>
      <c r="D1" s="1">
        <v>0.65</v>
      </c>
      <c r="E1" s="1">
        <v>0.65</v>
      </c>
      <c r="F1" s="1">
        <v>0.8</v>
      </c>
      <c r="G1" s="1">
        <v>0.75</v>
      </c>
      <c r="H1" s="1">
        <v>0.77</v>
      </c>
      <c r="I1" s="1">
        <v>0.74</v>
      </c>
      <c r="J1" s="1">
        <v>1</v>
      </c>
      <c r="K1" s="1">
        <v>1.08</v>
      </c>
      <c r="L1" s="1">
        <v>1.11</v>
      </c>
      <c r="M1" s="1">
        <v>1.07</v>
      </c>
      <c r="N1" s="22">
        <v>0.75</v>
      </c>
      <c r="P1" s="22">
        <v>0.78</v>
      </c>
      <c r="Q1" s="22">
        <v>0.78</v>
      </c>
    </row>
    <row r="2" spans="1:22" ht="15">
      <c r="A2" s="9" t="s">
        <v>8</v>
      </c>
      <c r="B2" s="1">
        <v>3</v>
      </c>
      <c r="C2" s="1">
        <v>6</v>
      </c>
      <c r="D2" s="1">
        <v>2</v>
      </c>
      <c r="E2" s="1">
        <v>2</v>
      </c>
      <c r="F2" s="1">
        <v>6</v>
      </c>
      <c r="G2" s="1">
        <v>2</v>
      </c>
      <c r="H2" s="1">
        <v>3</v>
      </c>
      <c r="I2" s="1">
        <v>0</v>
      </c>
      <c r="J2" s="1">
        <v>0</v>
      </c>
      <c r="K2" s="1">
        <v>6</v>
      </c>
      <c r="L2" s="1">
        <v>3</v>
      </c>
      <c r="M2" s="1">
        <v>0</v>
      </c>
      <c r="N2" s="22">
        <v>3</v>
      </c>
      <c r="O2" s="22">
        <v>0</v>
      </c>
      <c r="P2" s="22">
        <v>3</v>
      </c>
      <c r="Q2" s="22">
        <v>3</v>
      </c>
      <c r="R2" s="22">
        <v>0</v>
      </c>
      <c r="S2" s="22">
        <v>0</v>
      </c>
      <c r="T2" s="22">
        <v>3</v>
      </c>
      <c r="U2" s="22">
        <v>3</v>
      </c>
      <c r="V2" s="22">
        <v>0</v>
      </c>
    </row>
    <row r="3" spans="1:22" ht="15">
      <c r="A3" s="9" t="s">
        <v>29</v>
      </c>
      <c r="B3" s="1">
        <v>220</v>
      </c>
      <c r="C3" s="1">
        <v>227</v>
      </c>
      <c r="D3" s="1">
        <v>217.5</v>
      </c>
      <c r="E3" s="1">
        <v>226</v>
      </c>
      <c r="F3" s="1">
        <f>178+2.2*14</f>
        <v>208.8</v>
      </c>
      <c r="G3" s="1">
        <v>219</v>
      </c>
      <c r="H3" s="1">
        <v>231</v>
      </c>
      <c r="I3" s="1">
        <v>261</v>
      </c>
      <c r="J3" s="1">
        <v>215</v>
      </c>
      <c r="K3" s="1">
        <v>219</v>
      </c>
      <c r="L3" s="1">
        <v>239</v>
      </c>
      <c r="M3" s="1">
        <v>267</v>
      </c>
      <c r="N3" s="22">
        <v>185</v>
      </c>
      <c r="O3" s="22">
        <v>213</v>
      </c>
      <c r="P3" s="22">
        <v>215</v>
      </c>
      <c r="Q3" s="22">
        <v>228</v>
      </c>
      <c r="R3" s="22">
        <v>245</v>
      </c>
      <c r="S3" s="22">
        <v>261</v>
      </c>
      <c r="T3" s="22">
        <v>241</v>
      </c>
      <c r="U3" s="22">
        <v>234</v>
      </c>
      <c r="V3" s="22">
        <v>222</v>
      </c>
    </row>
    <row r="4" spans="1:22" ht="15">
      <c r="A4" s="9" t="s">
        <v>30</v>
      </c>
      <c r="B4" s="1">
        <v>277</v>
      </c>
      <c r="C4" s="1">
        <v>264</v>
      </c>
      <c r="D4" s="1">
        <v>259</v>
      </c>
      <c r="E4" s="1">
        <v>266</v>
      </c>
      <c r="F4" s="1">
        <f>178+2.17*28</f>
        <v>238.76</v>
      </c>
      <c r="G4" s="1">
        <v>263</v>
      </c>
      <c r="H4" s="1">
        <v>265</v>
      </c>
      <c r="I4" s="1">
        <v>264</v>
      </c>
      <c r="J4" s="1">
        <v>260</v>
      </c>
      <c r="K4" s="1">
        <v>263</v>
      </c>
      <c r="L4" s="1">
        <v>273</v>
      </c>
      <c r="M4" s="1">
        <v>273</v>
      </c>
      <c r="N4" s="22">
        <v>246</v>
      </c>
      <c r="O4" s="22">
        <v>267</v>
      </c>
      <c r="P4" s="22">
        <v>262</v>
      </c>
      <c r="Q4" s="22">
        <v>280</v>
      </c>
      <c r="R4" s="22">
        <v>271</v>
      </c>
      <c r="S4" s="22">
        <v>276</v>
      </c>
      <c r="T4" s="22">
        <v>275</v>
      </c>
      <c r="U4" s="22">
        <v>276</v>
      </c>
      <c r="V4" s="22">
        <v>253</v>
      </c>
    </row>
    <row r="5" spans="1:22" ht="15">
      <c r="A5" s="9" t="s">
        <v>9</v>
      </c>
      <c r="B5" s="1">
        <v>3.01</v>
      </c>
      <c r="C5" s="1">
        <v>3.15</v>
      </c>
      <c r="D5" s="1">
        <v>3.13</v>
      </c>
      <c r="E5" s="1">
        <v>2.94</v>
      </c>
      <c r="F5" s="1">
        <v>2.62</v>
      </c>
      <c r="G5" s="1">
        <v>2.76</v>
      </c>
      <c r="H5" s="1">
        <v>2.76</v>
      </c>
      <c r="I5" s="1">
        <v>3.48</v>
      </c>
      <c r="J5" s="1">
        <v>2.78</v>
      </c>
      <c r="K5" s="1">
        <v>2.56</v>
      </c>
      <c r="L5" s="1">
        <v>2.54</v>
      </c>
      <c r="M5" s="1">
        <v>3.02</v>
      </c>
      <c r="N5" s="22">
        <v>2.71</v>
      </c>
      <c r="O5" s="22">
        <v>2.58</v>
      </c>
      <c r="P5" s="22">
        <v>3.27</v>
      </c>
      <c r="Q5" s="22">
        <v>3.04</v>
      </c>
      <c r="R5" s="22">
        <v>3.23</v>
      </c>
      <c r="S5" s="22">
        <v>3.25</v>
      </c>
      <c r="T5" s="22">
        <v>2.81</v>
      </c>
      <c r="U5" s="22">
        <v>2.9</v>
      </c>
      <c r="V5" s="22">
        <v>3.54</v>
      </c>
    </row>
    <row r="6" spans="1:22" ht="15">
      <c r="A6" s="9" t="s">
        <v>32</v>
      </c>
      <c r="B6" s="9" t="s">
        <v>14</v>
      </c>
      <c r="C6" s="9" t="s">
        <v>11</v>
      </c>
      <c r="D6" s="9" t="s">
        <v>15</v>
      </c>
      <c r="E6" s="9" t="s">
        <v>15</v>
      </c>
      <c r="F6" s="9" t="s">
        <v>17</v>
      </c>
      <c r="G6" s="9" t="s">
        <v>15</v>
      </c>
      <c r="H6" s="9" t="s">
        <v>28</v>
      </c>
      <c r="I6" s="9" t="s">
        <v>28</v>
      </c>
      <c r="J6" s="9" t="s">
        <v>21</v>
      </c>
      <c r="K6" s="9" t="s">
        <v>21</v>
      </c>
      <c r="L6" s="9" t="s">
        <v>15</v>
      </c>
      <c r="M6" s="9" t="s">
        <v>15</v>
      </c>
      <c r="N6" s="23" t="s">
        <v>42</v>
      </c>
      <c r="O6" s="23" t="s">
        <v>44</v>
      </c>
      <c r="P6" s="23" t="s">
        <v>46</v>
      </c>
      <c r="Q6" s="23" t="s">
        <v>46</v>
      </c>
      <c r="R6" s="23" t="s">
        <v>48</v>
      </c>
      <c r="S6" s="23" t="s">
        <v>49</v>
      </c>
      <c r="T6" s="23" t="s">
        <v>51</v>
      </c>
      <c r="U6" s="23" t="s">
        <v>51</v>
      </c>
      <c r="V6" s="23" t="s">
        <v>52</v>
      </c>
    </row>
    <row r="7" spans="1:22" ht="15">
      <c r="A7" s="9" t="s">
        <v>31</v>
      </c>
      <c r="B7" s="9" t="s">
        <v>13</v>
      </c>
      <c r="C7" s="9" t="s">
        <v>12</v>
      </c>
      <c r="D7" s="9" t="s">
        <v>16</v>
      </c>
      <c r="E7" s="9" t="s">
        <v>16</v>
      </c>
      <c r="F7" s="9" t="s">
        <v>18</v>
      </c>
      <c r="G7" s="9" t="s">
        <v>16</v>
      </c>
      <c r="H7" s="9" t="s">
        <v>27</v>
      </c>
      <c r="I7" s="9" t="s">
        <v>27</v>
      </c>
      <c r="J7" s="9" t="s">
        <v>22</v>
      </c>
      <c r="K7" s="9" t="s">
        <v>22</v>
      </c>
      <c r="L7" s="9" t="s">
        <v>27</v>
      </c>
      <c r="M7" s="9" t="s">
        <v>27</v>
      </c>
      <c r="N7" s="23" t="s">
        <v>43</v>
      </c>
      <c r="O7" s="23" t="s">
        <v>45</v>
      </c>
      <c r="P7" s="23" t="s">
        <v>43</v>
      </c>
      <c r="Q7" s="23" t="s">
        <v>43</v>
      </c>
      <c r="R7" s="23" t="s">
        <v>45</v>
      </c>
      <c r="S7" s="23" t="s">
        <v>13</v>
      </c>
      <c r="T7" s="23" t="s">
        <v>45</v>
      </c>
      <c r="U7" s="23" t="s">
        <v>45</v>
      </c>
      <c r="V7" s="23" t="s">
        <v>45</v>
      </c>
    </row>
    <row r="8" spans="1:22" ht="26.25">
      <c r="A8" s="11" t="s">
        <v>33</v>
      </c>
      <c r="B8" s="12">
        <f aca="true" t="shared" si="0" ref="B8:G8">B5+B5*B2*0.02</f>
        <v>3.1906</v>
      </c>
      <c r="C8" s="12">
        <f t="shared" si="0"/>
        <v>3.528</v>
      </c>
      <c r="D8" s="12">
        <f t="shared" si="0"/>
        <v>3.2552</v>
      </c>
      <c r="E8" s="12">
        <f t="shared" si="0"/>
        <v>3.0576</v>
      </c>
      <c r="F8" s="12">
        <f t="shared" si="0"/>
        <v>2.9344</v>
      </c>
      <c r="G8" s="12">
        <f t="shared" si="0"/>
        <v>2.8703999999999996</v>
      </c>
      <c r="H8" s="12">
        <f aca="true" t="shared" si="1" ref="H8:M8">H5+H5*H2*0.02</f>
        <v>2.9255999999999998</v>
      </c>
      <c r="I8" s="12">
        <f t="shared" si="1"/>
        <v>3.48</v>
      </c>
      <c r="J8" s="8">
        <f t="shared" si="1"/>
        <v>2.78</v>
      </c>
      <c r="K8" s="8">
        <f t="shared" si="1"/>
        <v>2.8672</v>
      </c>
      <c r="L8" s="8">
        <f t="shared" si="1"/>
        <v>2.6924</v>
      </c>
      <c r="M8" s="8">
        <f t="shared" si="1"/>
        <v>3.02</v>
      </c>
      <c r="N8" s="8">
        <f aca="true" t="shared" si="2" ref="N8:V8">N5+N5*N2*0.02</f>
        <v>2.8726</v>
      </c>
      <c r="O8" s="8">
        <f t="shared" si="2"/>
        <v>2.58</v>
      </c>
      <c r="P8" s="8">
        <f t="shared" si="2"/>
        <v>3.4662</v>
      </c>
      <c r="Q8" s="8">
        <f t="shared" si="2"/>
        <v>3.2224</v>
      </c>
      <c r="R8" s="8">
        <f t="shared" si="2"/>
        <v>3.23</v>
      </c>
      <c r="S8" s="8">
        <f t="shared" si="2"/>
        <v>3.25</v>
      </c>
      <c r="T8" s="8">
        <f t="shared" si="2"/>
        <v>2.9786</v>
      </c>
      <c r="U8" s="8">
        <f t="shared" si="2"/>
        <v>3.074</v>
      </c>
      <c r="V8" s="8">
        <f t="shared" si="2"/>
        <v>3.54</v>
      </c>
    </row>
    <row r="9" spans="1:22" ht="15">
      <c r="A9" s="13" t="s">
        <v>34</v>
      </c>
      <c r="B9" s="14">
        <f aca="true" t="shared" si="3" ref="B9:G9">AVERAGE(B3:B4)</f>
        <v>248.5</v>
      </c>
      <c r="C9" s="14">
        <f t="shared" si="3"/>
        <v>245.5</v>
      </c>
      <c r="D9" s="14">
        <f t="shared" si="3"/>
        <v>238.25</v>
      </c>
      <c r="E9" s="14">
        <f t="shared" si="3"/>
        <v>246</v>
      </c>
      <c r="F9" s="14">
        <f t="shared" si="3"/>
        <v>223.78</v>
      </c>
      <c r="G9" s="14">
        <f t="shared" si="3"/>
        <v>241</v>
      </c>
      <c r="H9" s="14">
        <f aca="true" t="shared" si="4" ref="H9:M9">AVERAGE(H3:H4)</f>
        <v>248</v>
      </c>
      <c r="I9" s="14">
        <f t="shared" si="4"/>
        <v>262.5</v>
      </c>
      <c r="J9" s="10">
        <f t="shared" si="4"/>
        <v>237.5</v>
      </c>
      <c r="K9" s="10">
        <f t="shared" si="4"/>
        <v>241</v>
      </c>
      <c r="L9" s="10">
        <f t="shared" si="4"/>
        <v>256</v>
      </c>
      <c r="M9" s="10">
        <f t="shared" si="4"/>
        <v>270</v>
      </c>
      <c r="N9" s="10">
        <f aca="true" t="shared" si="5" ref="N9:V9">AVERAGE(N3:N4)</f>
        <v>215.5</v>
      </c>
      <c r="O9" s="10">
        <f t="shared" si="5"/>
        <v>240</v>
      </c>
      <c r="P9" s="10">
        <f t="shared" si="5"/>
        <v>238.5</v>
      </c>
      <c r="Q9" s="10">
        <f t="shared" si="5"/>
        <v>254</v>
      </c>
      <c r="R9" s="10">
        <f t="shared" si="5"/>
        <v>258</v>
      </c>
      <c r="S9" s="10">
        <f t="shared" si="5"/>
        <v>268.5</v>
      </c>
      <c r="T9" s="10">
        <f t="shared" si="5"/>
        <v>258</v>
      </c>
      <c r="U9" s="10">
        <f t="shared" si="5"/>
        <v>255</v>
      </c>
      <c r="V9" s="10">
        <f t="shared" si="5"/>
        <v>237.5</v>
      </c>
    </row>
    <row r="10" spans="1:22" ht="15">
      <c r="A10" s="9" t="s">
        <v>35</v>
      </c>
      <c r="B10" s="9" t="s">
        <v>19</v>
      </c>
      <c r="C10" s="9" t="s">
        <v>19</v>
      </c>
      <c r="D10" s="9" t="s">
        <v>20</v>
      </c>
      <c r="E10" s="9" t="s">
        <v>20</v>
      </c>
      <c r="F10" s="9" t="s">
        <v>20</v>
      </c>
      <c r="G10" s="9" t="s">
        <v>20</v>
      </c>
      <c r="H10" s="9" t="s">
        <v>24</v>
      </c>
      <c r="I10" s="9" t="s">
        <v>25</v>
      </c>
      <c r="J10" s="9" t="s">
        <v>23</v>
      </c>
      <c r="K10" s="9" t="s">
        <v>23</v>
      </c>
      <c r="L10" s="9" t="s">
        <v>23</v>
      </c>
      <c r="M10" s="9" t="s">
        <v>26</v>
      </c>
      <c r="N10" s="23" t="s">
        <v>20</v>
      </c>
      <c r="O10" s="23" t="s">
        <v>19</v>
      </c>
      <c r="P10" s="23" t="s">
        <v>47</v>
      </c>
      <c r="Q10" s="23" t="s">
        <v>20</v>
      </c>
      <c r="R10" s="23" t="s">
        <v>20</v>
      </c>
      <c r="S10" s="23" t="s">
        <v>19</v>
      </c>
      <c r="T10" s="23" t="s">
        <v>19</v>
      </c>
      <c r="U10" s="23" t="s">
        <v>19</v>
      </c>
      <c r="V10" s="23" t="s">
        <v>19</v>
      </c>
    </row>
    <row r="11" spans="14:22" ht="15">
      <c r="N11" s="23" t="s">
        <v>50</v>
      </c>
      <c r="O11" s="23" t="s">
        <v>50</v>
      </c>
      <c r="P11" s="23" t="s">
        <v>50</v>
      </c>
      <c r="Q11" s="23" t="s">
        <v>50</v>
      </c>
      <c r="R11" s="23" t="s">
        <v>50</v>
      </c>
      <c r="S11" s="23" t="s">
        <v>50</v>
      </c>
      <c r="T11" s="23" t="s">
        <v>50</v>
      </c>
      <c r="U11" s="23" t="s">
        <v>50</v>
      </c>
      <c r="V11" s="23" t="s">
        <v>50</v>
      </c>
    </row>
    <row r="12" spans="1:20" ht="15">
      <c r="A12" t="s">
        <v>15</v>
      </c>
      <c r="D12" s="23" t="s">
        <v>15</v>
      </c>
      <c r="E12" s="23" t="s">
        <v>15</v>
      </c>
      <c r="F12" s="23"/>
      <c r="H12" s="23" t="s">
        <v>15</v>
      </c>
      <c r="J12" s="23" t="s">
        <v>15</v>
      </c>
      <c r="K12" s="23" t="s">
        <v>15</v>
      </c>
      <c r="L12" s="23" t="s">
        <v>15</v>
      </c>
      <c r="O12" s="23" t="s">
        <v>15</v>
      </c>
      <c r="T12" s="23" t="s">
        <v>15</v>
      </c>
    </row>
    <row r="13" spans="1:22" ht="15">
      <c r="A13" t="s">
        <v>53</v>
      </c>
      <c r="B13" s="24">
        <f>IF(B12="Paylean",B8+0.25,B8)</f>
        <v>3.1906</v>
      </c>
      <c r="C13" s="24">
        <f aca="true" t="shared" si="6" ref="C13:V13">IF(C12="Paylean",C8+0.25,C8)</f>
        <v>3.528</v>
      </c>
      <c r="D13" s="24">
        <f t="shared" si="6"/>
        <v>3.5052</v>
      </c>
      <c r="E13" s="24">
        <f t="shared" si="6"/>
        <v>3.3076</v>
      </c>
      <c r="F13" s="24">
        <f t="shared" si="6"/>
        <v>2.9344</v>
      </c>
      <c r="G13" s="24">
        <f t="shared" si="6"/>
        <v>2.8703999999999996</v>
      </c>
      <c r="H13" s="24">
        <f t="shared" si="6"/>
        <v>3.1755999999999998</v>
      </c>
      <c r="I13" s="24">
        <f t="shared" si="6"/>
        <v>3.48</v>
      </c>
      <c r="J13" s="24">
        <f t="shared" si="6"/>
        <v>3.03</v>
      </c>
      <c r="K13" s="24">
        <f t="shared" si="6"/>
        <v>3.1172</v>
      </c>
      <c r="L13" s="24">
        <f t="shared" si="6"/>
        <v>2.9424</v>
      </c>
      <c r="M13" s="24">
        <f t="shared" si="6"/>
        <v>3.02</v>
      </c>
      <c r="N13" s="24">
        <f t="shared" si="6"/>
        <v>2.8726</v>
      </c>
      <c r="O13" s="24">
        <f t="shared" si="6"/>
        <v>2.83</v>
      </c>
      <c r="P13" s="24">
        <f t="shared" si="6"/>
        <v>3.4662</v>
      </c>
      <c r="Q13" s="24">
        <f t="shared" si="6"/>
        <v>3.2224</v>
      </c>
      <c r="R13" s="24">
        <f t="shared" si="6"/>
        <v>3.23</v>
      </c>
      <c r="S13" s="24">
        <f t="shared" si="6"/>
        <v>3.25</v>
      </c>
      <c r="T13" s="24">
        <f t="shared" si="6"/>
        <v>3.2286</v>
      </c>
      <c r="U13" s="24">
        <f t="shared" si="6"/>
        <v>3.074</v>
      </c>
      <c r="V13" s="24">
        <f t="shared" si="6"/>
        <v>3.54</v>
      </c>
    </row>
  </sheetData>
  <sheetProtection/>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V12"/>
  <sheetViews>
    <sheetView zoomScalePageLayoutView="0" workbookViewId="0" topLeftCell="A1">
      <selection activeCell="A1" sqref="A1"/>
    </sheetView>
  </sheetViews>
  <sheetFormatPr defaultColWidth="9.140625" defaultRowHeight="15"/>
  <cols>
    <col min="1" max="1" width="8.00390625" style="0" bestFit="1" customWidth="1"/>
  </cols>
  <sheetData>
    <row r="1" spans="1:20" ht="15">
      <c r="A1" s="9" t="s">
        <v>10</v>
      </c>
      <c r="B1" s="1">
        <v>0.8</v>
      </c>
      <c r="C1" s="1">
        <v>0.66</v>
      </c>
      <c r="D1" s="1">
        <v>0.8</v>
      </c>
      <c r="E1" s="1">
        <v>0.75</v>
      </c>
      <c r="F1" s="1">
        <v>0.74</v>
      </c>
      <c r="G1" s="1">
        <v>1.07</v>
      </c>
      <c r="H1" s="22">
        <v>0.75</v>
      </c>
      <c r="I1" s="22">
        <v>0.78</v>
      </c>
      <c r="J1" s="22">
        <v>0.78</v>
      </c>
      <c r="O1" s="1">
        <v>0.65</v>
      </c>
      <c r="P1" s="1">
        <v>0.65</v>
      </c>
      <c r="Q1" s="1">
        <v>0.77</v>
      </c>
      <c r="R1" s="1">
        <v>1</v>
      </c>
      <c r="S1" s="1">
        <v>1.08</v>
      </c>
      <c r="T1" s="1">
        <v>1.11</v>
      </c>
    </row>
    <row r="2" spans="1:22" ht="15">
      <c r="A2" s="9" t="s">
        <v>8</v>
      </c>
      <c r="B2" s="1">
        <v>3</v>
      </c>
      <c r="C2" s="1">
        <v>6</v>
      </c>
      <c r="D2" s="1">
        <v>6</v>
      </c>
      <c r="E2" s="1">
        <v>2</v>
      </c>
      <c r="F2" s="1">
        <v>0</v>
      </c>
      <c r="G2" s="1">
        <v>0</v>
      </c>
      <c r="H2" s="22">
        <v>3</v>
      </c>
      <c r="I2" s="22">
        <v>3</v>
      </c>
      <c r="J2" s="22">
        <v>3</v>
      </c>
      <c r="K2" s="22">
        <v>0</v>
      </c>
      <c r="L2" s="22">
        <v>0</v>
      </c>
      <c r="M2" s="22">
        <v>3</v>
      </c>
      <c r="N2" s="22">
        <v>0</v>
      </c>
      <c r="O2" s="1">
        <v>2</v>
      </c>
      <c r="P2" s="1">
        <v>2</v>
      </c>
      <c r="Q2" s="1">
        <v>3</v>
      </c>
      <c r="R2" s="1">
        <v>0</v>
      </c>
      <c r="S2" s="1">
        <v>6</v>
      </c>
      <c r="T2" s="1">
        <v>3</v>
      </c>
      <c r="U2" s="22">
        <v>0</v>
      </c>
      <c r="V2" s="22">
        <v>3</v>
      </c>
    </row>
    <row r="3" spans="1:22" ht="15">
      <c r="A3" s="9" t="s">
        <v>29</v>
      </c>
      <c r="B3" s="1">
        <v>220</v>
      </c>
      <c r="C3" s="1">
        <v>227</v>
      </c>
      <c r="D3" s="1">
        <f>178+2.2*14</f>
        <v>208.8</v>
      </c>
      <c r="E3" s="1">
        <v>219</v>
      </c>
      <c r="F3" s="1">
        <v>261</v>
      </c>
      <c r="G3" s="1">
        <v>267</v>
      </c>
      <c r="H3" s="22">
        <v>185</v>
      </c>
      <c r="I3" s="22">
        <v>215</v>
      </c>
      <c r="J3" s="22">
        <v>228</v>
      </c>
      <c r="K3" s="22">
        <v>245</v>
      </c>
      <c r="L3" s="22">
        <v>261</v>
      </c>
      <c r="M3" s="22">
        <v>234</v>
      </c>
      <c r="N3" s="22">
        <v>222</v>
      </c>
      <c r="O3" s="1">
        <v>217.5</v>
      </c>
      <c r="P3" s="1">
        <v>226</v>
      </c>
      <c r="Q3" s="1">
        <v>231</v>
      </c>
      <c r="R3" s="1">
        <v>215</v>
      </c>
      <c r="S3" s="1">
        <v>219</v>
      </c>
      <c r="T3" s="1">
        <v>239</v>
      </c>
      <c r="U3" s="22">
        <v>213</v>
      </c>
      <c r="V3" s="22">
        <v>241</v>
      </c>
    </row>
    <row r="4" spans="1:22" ht="15">
      <c r="A4" s="9" t="s">
        <v>30</v>
      </c>
      <c r="B4" s="1">
        <v>277</v>
      </c>
      <c r="C4" s="1">
        <v>264</v>
      </c>
      <c r="D4" s="1">
        <f>178+2.17*28</f>
        <v>238.76</v>
      </c>
      <c r="E4" s="1">
        <v>263</v>
      </c>
      <c r="F4" s="1">
        <v>264</v>
      </c>
      <c r="G4" s="1">
        <v>273</v>
      </c>
      <c r="H4" s="22">
        <v>246</v>
      </c>
      <c r="I4" s="22">
        <v>262</v>
      </c>
      <c r="J4" s="22">
        <v>280</v>
      </c>
      <c r="K4" s="22">
        <v>271</v>
      </c>
      <c r="L4" s="22">
        <v>276</v>
      </c>
      <c r="M4" s="22">
        <v>276</v>
      </c>
      <c r="N4" s="22">
        <v>253</v>
      </c>
      <c r="O4" s="1">
        <v>259</v>
      </c>
      <c r="P4" s="1">
        <v>266</v>
      </c>
      <c r="Q4" s="1">
        <v>265</v>
      </c>
      <c r="R4" s="1">
        <v>260</v>
      </c>
      <c r="S4" s="1">
        <v>263</v>
      </c>
      <c r="T4" s="1">
        <v>273</v>
      </c>
      <c r="U4" s="22">
        <v>267</v>
      </c>
      <c r="V4" s="22">
        <v>275</v>
      </c>
    </row>
    <row r="5" spans="1:22" ht="15">
      <c r="A5" s="9" t="s">
        <v>9</v>
      </c>
      <c r="B5" s="1">
        <v>3.01</v>
      </c>
      <c r="C5" s="1">
        <v>3.15</v>
      </c>
      <c r="D5" s="1">
        <v>2.62</v>
      </c>
      <c r="E5" s="1">
        <v>2.76</v>
      </c>
      <c r="F5" s="1">
        <v>3.48</v>
      </c>
      <c r="G5" s="1">
        <v>3.02</v>
      </c>
      <c r="H5" s="22">
        <v>2.71</v>
      </c>
      <c r="I5" s="22">
        <v>3.27</v>
      </c>
      <c r="J5" s="22">
        <v>3.04</v>
      </c>
      <c r="K5" s="22">
        <v>3.23</v>
      </c>
      <c r="L5" s="22">
        <v>3.25</v>
      </c>
      <c r="M5" s="22">
        <v>2.9</v>
      </c>
      <c r="N5" s="22">
        <v>3.54</v>
      </c>
      <c r="O5" s="1">
        <v>3.13</v>
      </c>
      <c r="P5" s="1">
        <v>2.94</v>
      </c>
      <c r="Q5" s="1">
        <v>2.76</v>
      </c>
      <c r="R5" s="1">
        <v>2.78</v>
      </c>
      <c r="S5" s="1">
        <v>2.56</v>
      </c>
      <c r="T5" s="1">
        <v>2.54</v>
      </c>
      <c r="U5" s="22">
        <v>2.58</v>
      </c>
      <c r="V5" s="22">
        <v>2.81</v>
      </c>
    </row>
    <row r="6" spans="1:22" ht="15">
      <c r="A6" s="9" t="s">
        <v>32</v>
      </c>
      <c r="B6" s="9" t="s">
        <v>14</v>
      </c>
      <c r="C6" s="9" t="s">
        <v>11</v>
      </c>
      <c r="D6" s="9" t="s">
        <v>17</v>
      </c>
      <c r="E6" s="9" t="s">
        <v>15</v>
      </c>
      <c r="F6" s="9" t="s">
        <v>28</v>
      </c>
      <c r="G6" s="9" t="s">
        <v>15</v>
      </c>
      <c r="H6" s="23" t="s">
        <v>42</v>
      </c>
      <c r="I6" s="23" t="s">
        <v>46</v>
      </c>
      <c r="J6" s="23" t="s">
        <v>46</v>
      </c>
      <c r="K6" s="23" t="s">
        <v>48</v>
      </c>
      <c r="L6" s="23" t="s">
        <v>49</v>
      </c>
      <c r="M6" s="23" t="s">
        <v>51</v>
      </c>
      <c r="N6" s="23" t="s">
        <v>52</v>
      </c>
      <c r="O6" s="9" t="s">
        <v>15</v>
      </c>
      <c r="P6" s="9" t="s">
        <v>15</v>
      </c>
      <c r="Q6" s="9" t="s">
        <v>28</v>
      </c>
      <c r="R6" s="9" t="s">
        <v>21</v>
      </c>
      <c r="S6" s="9" t="s">
        <v>21</v>
      </c>
      <c r="T6" s="9" t="s">
        <v>15</v>
      </c>
      <c r="U6" s="23" t="s">
        <v>44</v>
      </c>
      <c r="V6" s="23" t="s">
        <v>51</v>
      </c>
    </row>
    <row r="7" spans="1:22" ht="15">
      <c r="A7" s="9" t="s">
        <v>31</v>
      </c>
      <c r="B7" s="9" t="s">
        <v>13</v>
      </c>
      <c r="C7" s="9" t="s">
        <v>12</v>
      </c>
      <c r="D7" s="9" t="s">
        <v>18</v>
      </c>
      <c r="E7" s="9" t="s">
        <v>16</v>
      </c>
      <c r="F7" s="9" t="s">
        <v>27</v>
      </c>
      <c r="G7" s="9" t="s">
        <v>27</v>
      </c>
      <c r="H7" s="23" t="s">
        <v>43</v>
      </c>
      <c r="I7" s="23" t="s">
        <v>43</v>
      </c>
      <c r="J7" s="23" t="s">
        <v>43</v>
      </c>
      <c r="K7" s="23" t="s">
        <v>45</v>
      </c>
      <c r="L7" s="23" t="s">
        <v>13</v>
      </c>
      <c r="M7" s="23" t="s">
        <v>45</v>
      </c>
      <c r="N7" s="23" t="s">
        <v>45</v>
      </c>
      <c r="O7" s="9" t="s">
        <v>16</v>
      </c>
      <c r="P7" s="9" t="s">
        <v>16</v>
      </c>
      <c r="Q7" s="9" t="s">
        <v>27</v>
      </c>
      <c r="R7" s="9" t="s">
        <v>22</v>
      </c>
      <c r="S7" s="9" t="s">
        <v>22</v>
      </c>
      <c r="T7" s="9" t="s">
        <v>27</v>
      </c>
      <c r="U7" s="23" t="s">
        <v>45</v>
      </c>
      <c r="V7" s="23" t="s">
        <v>45</v>
      </c>
    </row>
    <row r="8" spans="1:22" ht="26.25">
      <c r="A8" s="11" t="s">
        <v>33</v>
      </c>
      <c r="B8" s="12">
        <f aca="true" t="shared" si="0" ref="B8:V8">B5+B5*B2*0.02</f>
        <v>3.1906</v>
      </c>
      <c r="C8" s="12">
        <f t="shared" si="0"/>
        <v>3.528</v>
      </c>
      <c r="D8" s="12">
        <f t="shared" si="0"/>
        <v>2.9344</v>
      </c>
      <c r="E8" s="12">
        <f t="shared" si="0"/>
        <v>2.8703999999999996</v>
      </c>
      <c r="F8" s="12">
        <f aca="true" t="shared" si="1" ref="F8:P8">F5+F5*F2*0.02</f>
        <v>3.48</v>
      </c>
      <c r="G8" s="8">
        <f t="shared" si="1"/>
        <v>3.02</v>
      </c>
      <c r="H8" s="8">
        <f t="shared" si="1"/>
        <v>2.8726</v>
      </c>
      <c r="I8" s="8">
        <f t="shared" si="1"/>
        <v>3.4662</v>
      </c>
      <c r="J8" s="8">
        <f t="shared" si="1"/>
        <v>3.2224</v>
      </c>
      <c r="K8" s="8">
        <f t="shared" si="1"/>
        <v>3.23</v>
      </c>
      <c r="L8" s="8">
        <f t="shared" si="1"/>
        <v>3.25</v>
      </c>
      <c r="M8" s="8">
        <f t="shared" si="1"/>
        <v>3.074</v>
      </c>
      <c r="N8" s="8">
        <f t="shared" si="1"/>
        <v>3.54</v>
      </c>
      <c r="O8" s="12">
        <f t="shared" si="1"/>
        <v>3.2552</v>
      </c>
      <c r="P8" s="12">
        <f t="shared" si="1"/>
        <v>3.0576</v>
      </c>
      <c r="Q8" s="12">
        <f t="shared" si="0"/>
        <v>2.9255999999999998</v>
      </c>
      <c r="R8" s="8">
        <f t="shared" si="0"/>
        <v>2.78</v>
      </c>
      <c r="S8" s="8">
        <f t="shared" si="0"/>
        <v>2.8672</v>
      </c>
      <c r="T8" s="8">
        <f t="shared" si="0"/>
        <v>2.6924</v>
      </c>
      <c r="U8" s="8">
        <f t="shared" si="0"/>
        <v>2.58</v>
      </c>
      <c r="V8" s="8">
        <f t="shared" si="0"/>
        <v>2.9786</v>
      </c>
    </row>
    <row r="9" spans="1:22" ht="15">
      <c r="A9" s="13" t="s">
        <v>34</v>
      </c>
      <c r="B9" s="14">
        <f aca="true" t="shared" si="2" ref="B9:V9">AVERAGE(B3:B4)</f>
        <v>248.5</v>
      </c>
      <c r="C9" s="14">
        <f t="shared" si="2"/>
        <v>245.5</v>
      </c>
      <c r="D9" s="14">
        <f t="shared" si="2"/>
        <v>223.78</v>
      </c>
      <c r="E9" s="14">
        <f t="shared" si="2"/>
        <v>241</v>
      </c>
      <c r="F9" s="14">
        <f aca="true" t="shared" si="3" ref="F9:P9">AVERAGE(F3:F4)</f>
        <v>262.5</v>
      </c>
      <c r="G9" s="10">
        <f t="shared" si="3"/>
        <v>270</v>
      </c>
      <c r="H9" s="10">
        <f t="shared" si="3"/>
        <v>215.5</v>
      </c>
      <c r="I9" s="10">
        <f t="shared" si="3"/>
        <v>238.5</v>
      </c>
      <c r="J9" s="10">
        <f t="shared" si="3"/>
        <v>254</v>
      </c>
      <c r="K9" s="10">
        <f t="shared" si="3"/>
        <v>258</v>
      </c>
      <c r="L9" s="10">
        <f t="shared" si="3"/>
        <v>268.5</v>
      </c>
      <c r="M9" s="10">
        <f t="shared" si="3"/>
        <v>255</v>
      </c>
      <c r="N9" s="10">
        <f t="shared" si="3"/>
        <v>237.5</v>
      </c>
      <c r="O9" s="14">
        <f t="shared" si="3"/>
        <v>238.25</v>
      </c>
      <c r="P9" s="14">
        <f t="shared" si="3"/>
        <v>246</v>
      </c>
      <c r="Q9" s="14">
        <f t="shared" si="2"/>
        <v>248</v>
      </c>
      <c r="R9" s="10">
        <f t="shared" si="2"/>
        <v>237.5</v>
      </c>
      <c r="S9" s="10">
        <f t="shared" si="2"/>
        <v>241</v>
      </c>
      <c r="T9" s="10">
        <f t="shared" si="2"/>
        <v>256</v>
      </c>
      <c r="U9" s="10">
        <f t="shared" si="2"/>
        <v>240</v>
      </c>
      <c r="V9" s="10">
        <f t="shared" si="2"/>
        <v>258</v>
      </c>
    </row>
    <row r="10" spans="1:22" ht="15">
      <c r="A10" s="9" t="s">
        <v>35</v>
      </c>
      <c r="B10" s="9" t="s">
        <v>19</v>
      </c>
      <c r="C10" s="9" t="s">
        <v>19</v>
      </c>
      <c r="D10" s="9" t="s">
        <v>20</v>
      </c>
      <c r="E10" s="9" t="s">
        <v>20</v>
      </c>
      <c r="F10" s="9" t="s">
        <v>25</v>
      </c>
      <c r="G10" s="9" t="s">
        <v>26</v>
      </c>
      <c r="H10" s="23" t="s">
        <v>20</v>
      </c>
      <c r="I10" s="23" t="s">
        <v>47</v>
      </c>
      <c r="J10" s="23" t="s">
        <v>20</v>
      </c>
      <c r="K10" s="23" t="s">
        <v>20</v>
      </c>
      <c r="L10" s="23" t="s">
        <v>19</v>
      </c>
      <c r="M10" s="23" t="s">
        <v>19</v>
      </c>
      <c r="N10" s="23" t="s">
        <v>19</v>
      </c>
      <c r="O10" s="9" t="s">
        <v>20</v>
      </c>
      <c r="P10" s="9" t="s">
        <v>20</v>
      </c>
      <c r="Q10" s="9" t="s">
        <v>24</v>
      </c>
      <c r="R10" s="9" t="s">
        <v>23</v>
      </c>
      <c r="S10" s="9" t="s">
        <v>23</v>
      </c>
      <c r="T10" s="9" t="s">
        <v>23</v>
      </c>
      <c r="U10" s="23" t="s">
        <v>19</v>
      </c>
      <c r="V10" s="23" t="s">
        <v>19</v>
      </c>
    </row>
    <row r="11" spans="8:22" ht="15">
      <c r="H11" s="23" t="s">
        <v>50</v>
      </c>
      <c r="I11" s="23" t="s">
        <v>50</v>
      </c>
      <c r="J11" s="23" t="s">
        <v>50</v>
      </c>
      <c r="K11" s="23" t="s">
        <v>50</v>
      </c>
      <c r="L11" s="23" t="s">
        <v>50</v>
      </c>
      <c r="M11" s="23" t="s">
        <v>50</v>
      </c>
      <c r="N11" s="23" t="s">
        <v>50</v>
      </c>
      <c r="U11" s="23" t="s">
        <v>50</v>
      </c>
      <c r="V11" s="23" t="s">
        <v>50</v>
      </c>
    </row>
    <row r="12" spans="1:22" ht="15">
      <c r="A12" t="s">
        <v>15</v>
      </c>
      <c r="D12" s="23"/>
      <c r="O12" s="23" t="s">
        <v>15</v>
      </c>
      <c r="P12" s="23" t="s">
        <v>15</v>
      </c>
      <c r="Q12" s="23" t="s">
        <v>15</v>
      </c>
      <c r="R12" s="23" t="s">
        <v>15</v>
      </c>
      <c r="S12" s="23" t="s">
        <v>15</v>
      </c>
      <c r="T12" s="23" t="s">
        <v>15</v>
      </c>
      <c r="U12" s="23" t="s">
        <v>15</v>
      </c>
      <c r="V12" s="23" t="s">
        <v>15</v>
      </c>
    </row>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Tokach</dc:creator>
  <cp:keywords/>
  <dc:description/>
  <cp:lastModifiedBy>mike</cp:lastModifiedBy>
  <cp:lastPrinted>2012-08-31T20:15:09Z</cp:lastPrinted>
  <dcterms:created xsi:type="dcterms:W3CDTF">2008-04-23T02:57:17Z</dcterms:created>
  <dcterms:modified xsi:type="dcterms:W3CDTF">2012-08-31T20:45:31Z</dcterms:modified>
  <cp:category/>
  <cp:version/>
  <cp:contentType/>
  <cp:contentStatus/>
</cp:coreProperties>
</file>