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tokach\Documents\Data files 2004\Data\2011 specifications\"/>
    </mc:Choice>
  </mc:AlternateContent>
  <xr:revisionPtr revIDLastSave="0" documentId="8_{582CF435-7AE8-4478-8F1B-636BA2C1E13E}" xr6:coauthVersionLast="47" xr6:coauthVersionMax="47" xr10:uidLastSave="{00000000-0000-0000-0000-000000000000}"/>
  <bookViews>
    <workbookView xWindow="-28920" yWindow="-120" windowWidth="29040" windowHeight="15840" firstSheet="2" activeTab="2" xr2:uid="{00000000-000D-0000-FFFF-FFFF00000000}"/>
  </bookViews>
  <sheets>
    <sheet name="Base mix phytase 2007 change" sheetId="19" state="hidden" r:id="rId1"/>
    <sheet name="Base mix phytase 2007 conc PM" sheetId="20" state="hidden" r:id="rId2"/>
    <sheet name="Base mix" sheetId="21" r:id="rId3"/>
    <sheet name="Higher phytase Base mix DDGS" sheetId="22" state="hidden" r:id="rId4"/>
  </sheets>
  <definedNames>
    <definedName name="_xlnm.Print_Area" localSheetId="2">'Base mix'!$A$1:$L$65</definedName>
    <definedName name="_xlnm.Print_Area" localSheetId="0">'Base mix phytase 2007 change'!$A$1:$G$66</definedName>
    <definedName name="_xlnm.Print_Area" localSheetId="1">'Base mix phytase 2007 conc PM'!$A$1:$G$66</definedName>
    <definedName name="_xlnm.Print_Area" localSheetId="3">'Higher phytase Base mix DDGS'!$A$1:$J$65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21" l="1"/>
  <c r="F33" i="21"/>
  <c r="G33" i="21"/>
  <c r="D33" i="21"/>
  <c r="AF12" i="21"/>
  <c r="K33" i="21"/>
  <c r="M61" i="21"/>
  <c r="M60" i="21"/>
  <c r="M59" i="21"/>
  <c r="M58" i="21"/>
  <c r="M57" i="21"/>
  <c r="M56" i="21"/>
  <c r="M55" i="21"/>
  <c r="M54" i="21"/>
  <c r="M46" i="21"/>
  <c r="M45" i="21"/>
  <c r="M44" i="21"/>
  <c r="M43" i="21"/>
  <c r="M42" i="21"/>
  <c r="M41" i="21"/>
  <c r="M40" i="21"/>
  <c r="M39" i="21"/>
  <c r="M38" i="21"/>
  <c r="M32" i="21"/>
  <c r="M31" i="21"/>
  <c r="N15" i="21"/>
  <c r="N16" i="21" s="1"/>
  <c r="N64" i="21" s="1"/>
  <c r="N62" i="21"/>
  <c r="N61" i="21"/>
  <c r="N60" i="21"/>
  <c r="N59" i="21"/>
  <c r="N58" i="21"/>
  <c r="N57" i="21"/>
  <c r="N56" i="21"/>
  <c r="N55" i="21"/>
  <c r="N54" i="21"/>
  <c r="N46" i="21"/>
  <c r="N45" i="21"/>
  <c r="N44" i="21"/>
  <c r="N43" i="21"/>
  <c r="N42" i="21"/>
  <c r="N41" i="21"/>
  <c r="N40" i="21"/>
  <c r="N39" i="21"/>
  <c r="N38" i="21"/>
  <c r="N31" i="21"/>
  <c r="N34" i="21"/>
  <c r="L14" i="21"/>
  <c r="K14" i="21"/>
  <c r="K34" i="21" s="1"/>
  <c r="D14" i="21"/>
  <c r="G14" i="21"/>
  <c r="G28" i="21" s="1"/>
  <c r="H14" i="21"/>
  <c r="K32" i="21"/>
  <c r="G21" i="21"/>
  <c r="H34" i="21"/>
  <c r="L34" i="21"/>
  <c r="L33" i="21"/>
  <c r="L63" i="21"/>
  <c r="L62" i="21"/>
  <c r="L61" i="21"/>
  <c r="L60" i="21"/>
  <c r="L59" i="21"/>
  <c r="L58" i="21"/>
  <c r="L57" i="21"/>
  <c r="L56" i="21"/>
  <c r="L55" i="21"/>
  <c r="L54" i="21"/>
  <c r="L47" i="21"/>
  <c r="L46" i="21"/>
  <c r="L45" i="21"/>
  <c r="L44" i="21"/>
  <c r="L43" i="21"/>
  <c r="L42" i="21"/>
  <c r="L41" i="21"/>
  <c r="L40" i="21"/>
  <c r="L39" i="21"/>
  <c r="L38" i="21"/>
  <c r="L31" i="21"/>
  <c r="L30" i="21"/>
  <c r="L29" i="21"/>
  <c r="L21" i="21"/>
  <c r="L22" i="21" s="1"/>
  <c r="L28" i="21"/>
  <c r="L15" i="21"/>
  <c r="L16" i="21" s="1"/>
  <c r="L64" i="21" s="1"/>
  <c r="K31" i="21"/>
  <c r="K63" i="21"/>
  <c r="K62" i="21"/>
  <c r="K61" i="21"/>
  <c r="K60" i="21"/>
  <c r="K59" i="21"/>
  <c r="K58" i="21"/>
  <c r="K57" i="21"/>
  <c r="K56" i="21"/>
  <c r="K55" i="21"/>
  <c r="K54" i="21"/>
  <c r="K47" i="21"/>
  <c r="K46" i="21"/>
  <c r="K45" i="21"/>
  <c r="K44" i="21"/>
  <c r="K43" i="21"/>
  <c r="K42" i="21"/>
  <c r="K41" i="21"/>
  <c r="K40" i="21"/>
  <c r="K39" i="21"/>
  <c r="K38" i="21"/>
  <c r="K30" i="21"/>
  <c r="K28" i="21"/>
  <c r="K15" i="21"/>
  <c r="K16" i="21" s="1"/>
  <c r="K48" i="21" s="1"/>
  <c r="D33" i="22"/>
  <c r="G33" i="22"/>
  <c r="H33" i="22"/>
  <c r="H63" i="22"/>
  <c r="G63" i="22"/>
  <c r="D63" i="22"/>
  <c r="H62" i="22"/>
  <c r="G62" i="22"/>
  <c r="D62" i="22"/>
  <c r="H61" i="22"/>
  <c r="G61" i="22"/>
  <c r="F61" i="22"/>
  <c r="E61" i="22"/>
  <c r="D61" i="22"/>
  <c r="C61" i="22"/>
  <c r="H60" i="22"/>
  <c r="G60" i="22"/>
  <c r="D60" i="22"/>
  <c r="C60" i="22"/>
  <c r="H59" i="22"/>
  <c r="G59" i="22"/>
  <c r="D59" i="22"/>
  <c r="C59" i="22"/>
  <c r="H58" i="22"/>
  <c r="G58" i="22"/>
  <c r="D58" i="22"/>
  <c r="C58" i="22"/>
  <c r="H57" i="22"/>
  <c r="G57" i="22"/>
  <c r="D57" i="22"/>
  <c r="C57" i="22"/>
  <c r="H56" i="22"/>
  <c r="G56" i="22"/>
  <c r="D56" i="22"/>
  <c r="C56" i="22"/>
  <c r="H55" i="22"/>
  <c r="G55" i="22"/>
  <c r="D55" i="22"/>
  <c r="C55" i="22"/>
  <c r="H54" i="22"/>
  <c r="G54" i="22"/>
  <c r="D54" i="22"/>
  <c r="C54" i="22"/>
  <c r="A48" i="22"/>
  <c r="A64" i="22" s="1"/>
  <c r="H47" i="22"/>
  <c r="G47" i="22"/>
  <c r="D47" i="22"/>
  <c r="A47" i="22"/>
  <c r="A63" i="22" s="1"/>
  <c r="H46" i="22"/>
  <c r="G46" i="22"/>
  <c r="D46" i="22"/>
  <c r="A46" i="22"/>
  <c r="A62" i="22" s="1"/>
  <c r="H45" i="22"/>
  <c r="G45" i="22"/>
  <c r="F45" i="22"/>
  <c r="E45" i="22"/>
  <c r="D45" i="22"/>
  <c r="C45" i="22"/>
  <c r="A45" i="22"/>
  <c r="A61" i="22" s="1"/>
  <c r="H44" i="22"/>
  <c r="G44" i="22"/>
  <c r="D44" i="22"/>
  <c r="C44" i="22"/>
  <c r="A44" i="22"/>
  <c r="A60" i="22"/>
  <c r="H43" i="22"/>
  <c r="G43" i="22"/>
  <c r="D43" i="22"/>
  <c r="C43" i="22"/>
  <c r="A43" i="22"/>
  <c r="A59" i="22" s="1"/>
  <c r="H42" i="22"/>
  <c r="G42" i="22"/>
  <c r="D42" i="22"/>
  <c r="C42" i="22"/>
  <c r="A42" i="22"/>
  <c r="A58" i="22"/>
  <c r="H41" i="22"/>
  <c r="G41" i="22"/>
  <c r="D41" i="22"/>
  <c r="C41" i="22"/>
  <c r="A41" i="22"/>
  <c r="A57" i="22" s="1"/>
  <c r="H40" i="22"/>
  <c r="G40" i="22"/>
  <c r="D40" i="22"/>
  <c r="C40" i="22"/>
  <c r="A40" i="22"/>
  <c r="A56" i="22" s="1"/>
  <c r="H39" i="22"/>
  <c r="G39" i="22"/>
  <c r="D39" i="22"/>
  <c r="C39" i="22"/>
  <c r="A39" i="22"/>
  <c r="A55" i="22" s="1"/>
  <c r="H38" i="22"/>
  <c r="G38" i="22"/>
  <c r="D38" i="22"/>
  <c r="C38" i="22"/>
  <c r="A38" i="22"/>
  <c r="A54" i="22" s="1"/>
  <c r="R35" i="22"/>
  <c r="R36" i="22" s="1"/>
  <c r="Q35" i="22"/>
  <c r="Q36" i="22" s="1"/>
  <c r="P35" i="22"/>
  <c r="P36" i="22"/>
  <c r="O35" i="22"/>
  <c r="O36" i="22" s="1"/>
  <c r="N35" i="22"/>
  <c r="N36" i="22" s="1"/>
  <c r="Q34" i="22"/>
  <c r="R33" i="22"/>
  <c r="R34" i="22" s="1"/>
  <c r="Q33" i="22"/>
  <c r="P33" i="22"/>
  <c r="P34" i="22"/>
  <c r="O33" i="22"/>
  <c r="O34" i="22" s="1"/>
  <c r="N33" i="22"/>
  <c r="N34" i="22"/>
  <c r="C32" i="22"/>
  <c r="R31" i="22"/>
  <c r="R32" i="22" s="1"/>
  <c r="Q31" i="22"/>
  <c r="Q32" i="22" s="1"/>
  <c r="P31" i="22"/>
  <c r="P32" i="22"/>
  <c r="O31" i="22"/>
  <c r="O32" i="22" s="1"/>
  <c r="N31" i="22"/>
  <c r="N32" i="22" s="1"/>
  <c r="C31" i="22"/>
  <c r="H30" i="22"/>
  <c r="G30" i="22"/>
  <c r="D30" i="22"/>
  <c r="H29" i="22"/>
  <c r="H21" i="22" s="1"/>
  <c r="G29" i="22"/>
  <c r="D29" i="22"/>
  <c r="D21" i="22" s="1"/>
  <c r="D22" i="22" s="1"/>
  <c r="F22" i="22" s="1"/>
  <c r="H28" i="22"/>
  <c r="G28" i="22"/>
  <c r="D28" i="22"/>
  <c r="G21" i="22"/>
  <c r="J17" i="22"/>
  <c r="J42" i="22" s="1"/>
  <c r="I17" i="22"/>
  <c r="I38" i="22" s="1"/>
  <c r="H15" i="22"/>
  <c r="H16" i="22"/>
  <c r="G15" i="22"/>
  <c r="G16" i="22"/>
  <c r="G48" i="22" s="1"/>
  <c r="D15" i="22"/>
  <c r="D16" i="22"/>
  <c r="D64" i="22" s="1"/>
  <c r="P14" i="22"/>
  <c r="L14" i="22"/>
  <c r="M14" i="22" s="1"/>
  <c r="Q14" i="22" s="1"/>
  <c r="U14" i="22" s="1"/>
  <c r="J14" i="22"/>
  <c r="I14" i="22"/>
  <c r="F14" i="22"/>
  <c r="F47" i="22" s="1"/>
  <c r="F63" i="22"/>
  <c r="E47" i="22"/>
  <c r="Q13" i="22"/>
  <c r="P13" i="22"/>
  <c r="T13" i="22" s="1"/>
  <c r="L13" i="22"/>
  <c r="N13" i="22" s="1"/>
  <c r="O13" i="22" s="1"/>
  <c r="J13" i="22"/>
  <c r="I13" i="22"/>
  <c r="I62" i="22" s="1"/>
  <c r="F13" i="22"/>
  <c r="E62" i="22"/>
  <c r="C13" i="22"/>
  <c r="C62" i="22" s="1"/>
  <c r="Q12" i="22"/>
  <c r="U12" i="22"/>
  <c r="P12" i="22"/>
  <c r="T12" i="22" s="1"/>
  <c r="L12" i="22"/>
  <c r="N12" i="22" s="1"/>
  <c r="P11" i="22"/>
  <c r="R11" i="22" s="1"/>
  <c r="V11" i="22" s="1"/>
  <c r="L11" i="22"/>
  <c r="M11" i="22" s="1"/>
  <c r="Q11" i="22" s="1"/>
  <c r="U11" i="22" s="1"/>
  <c r="J11" i="22"/>
  <c r="I11" i="22"/>
  <c r="F11" i="22"/>
  <c r="F44" i="22" s="1"/>
  <c r="E60" i="22"/>
  <c r="P10" i="22"/>
  <c r="T10" i="22" s="1"/>
  <c r="L10" i="22"/>
  <c r="J10" i="22"/>
  <c r="I10" i="22"/>
  <c r="F10" i="22"/>
  <c r="E10" i="22"/>
  <c r="E43" i="22" s="1"/>
  <c r="P9" i="22"/>
  <c r="T9" i="22" s="1"/>
  <c r="M9" i="22"/>
  <c r="Q9" i="22" s="1"/>
  <c r="L9" i="22"/>
  <c r="J9" i="22"/>
  <c r="I9" i="22"/>
  <c r="F9" i="22"/>
  <c r="E58" i="22"/>
  <c r="P8" i="22"/>
  <c r="T8" i="22" s="1"/>
  <c r="L8" i="22"/>
  <c r="J8" i="22"/>
  <c r="I8" i="22"/>
  <c r="F8" i="22"/>
  <c r="F57" i="22"/>
  <c r="E8" i="22"/>
  <c r="X7" i="22"/>
  <c r="P7" i="22"/>
  <c r="T7" i="22" s="1"/>
  <c r="L7" i="22"/>
  <c r="M7" i="22" s="1"/>
  <c r="Q7" i="22" s="1"/>
  <c r="U7" i="22" s="1"/>
  <c r="J7" i="22"/>
  <c r="I7" i="22"/>
  <c r="F7" i="22"/>
  <c r="F40" i="22" s="1"/>
  <c r="E7" i="22"/>
  <c r="E30" i="22" s="1"/>
  <c r="X6" i="22"/>
  <c r="P6" i="22"/>
  <c r="L6" i="22"/>
  <c r="M6" i="22"/>
  <c r="Q6" i="22"/>
  <c r="U6" i="22" s="1"/>
  <c r="J6" i="22"/>
  <c r="J39" i="22" s="1"/>
  <c r="I6" i="22"/>
  <c r="F6" i="22"/>
  <c r="F55" i="22" s="1"/>
  <c r="E39" i="22"/>
  <c r="X5" i="22"/>
  <c r="D27" i="22" s="1"/>
  <c r="T5" i="22"/>
  <c r="P5" i="22"/>
  <c r="L5" i="22"/>
  <c r="M5" i="22" s="1"/>
  <c r="N5" i="22" s="1"/>
  <c r="J5" i="22"/>
  <c r="I5" i="22"/>
  <c r="F5" i="22"/>
  <c r="E54" i="22"/>
  <c r="S31" i="21"/>
  <c r="S32" i="21" s="1"/>
  <c r="T31" i="21"/>
  <c r="T32" i="21" s="1"/>
  <c r="U31" i="21"/>
  <c r="U32" i="21" s="1"/>
  <c r="V31" i="21"/>
  <c r="V32" i="21" s="1"/>
  <c r="R31" i="21"/>
  <c r="R32" i="21" s="1"/>
  <c r="S35" i="21"/>
  <c r="S36" i="21" s="1"/>
  <c r="T35" i="21"/>
  <c r="T36" i="21" s="1"/>
  <c r="U35" i="21"/>
  <c r="U36" i="21"/>
  <c r="V35" i="21"/>
  <c r="V36" i="21"/>
  <c r="R35" i="21"/>
  <c r="R36" i="21"/>
  <c r="S33" i="21"/>
  <c r="S34" i="21" s="1"/>
  <c r="T33" i="21"/>
  <c r="T34" i="21" s="1"/>
  <c r="U33" i="21"/>
  <c r="V33" i="21"/>
  <c r="V34" i="21"/>
  <c r="U34" i="21"/>
  <c r="R33" i="21"/>
  <c r="R34" i="21" s="1"/>
  <c r="J17" i="21"/>
  <c r="I17" i="21"/>
  <c r="I62" i="21" s="1"/>
  <c r="J5" i="21"/>
  <c r="J6" i="21"/>
  <c r="J55" i="21" s="1"/>
  <c r="J7" i="21"/>
  <c r="J56" i="21"/>
  <c r="J8" i="21"/>
  <c r="J57" i="21" s="1"/>
  <c r="J9" i="21"/>
  <c r="J42" i="21" s="1"/>
  <c r="J10" i="21"/>
  <c r="J11" i="21"/>
  <c r="J60" i="21" s="1"/>
  <c r="J13" i="21"/>
  <c r="J46" i="21" s="1"/>
  <c r="J62" i="21"/>
  <c r="I5" i="21"/>
  <c r="I6" i="21"/>
  <c r="I7" i="21"/>
  <c r="I8" i="21"/>
  <c r="I9" i="21"/>
  <c r="I10" i="21"/>
  <c r="I11" i="21"/>
  <c r="I13" i="21"/>
  <c r="H54" i="21"/>
  <c r="H55" i="21"/>
  <c r="H56" i="21"/>
  <c r="H57" i="21"/>
  <c r="H58" i="21"/>
  <c r="H59" i="21"/>
  <c r="H60" i="21"/>
  <c r="H61" i="21"/>
  <c r="H62" i="21"/>
  <c r="H63" i="21"/>
  <c r="H15" i="21"/>
  <c r="H16" i="21"/>
  <c r="H48" i="21" s="1"/>
  <c r="H38" i="21"/>
  <c r="H39" i="21"/>
  <c r="H40" i="21"/>
  <c r="H41" i="21"/>
  <c r="H42" i="21"/>
  <c r="H43" i="21"/>
  <c r="H44" i="21"/>
  <c r="H45" i="21"/>
  <c r="H46" i="21"/>
  <c r="H47" i="21"/>
  <c r="H30" i="21"/>
  <c r="H29" i="21"/>
  <c r="H21" i="21" s="1"/>
  <c r="H28" i="21"/>
  <c r="AB5" i="21"/>
  <c r="K27" i="21" s="1"/>
  <c r="AB6" i="21"/>
  <c r="AB7" i="21"/>
  <c r="P5" i="21"/>
  <c r="Q5" i="21" s="1"/>
  <c r="U5" i="21" s="1"/>
  <c r="P6" i="21"/>
  <c r="Q6" i="21" s="1"/>
  <c r="P7" i="21"/>
  <c r="P8" i="21"/>
  <c r="Q8" i="21"/>
  <c r="U8" i="21" s="1"/>
  <c r="R8" i="21"/>
  <c r="P9" i="21"/>
  <c r="P10" i="21"/>
  <c r="Q10" i="21"/>
  <c r="U10" i="21" s="1"/>
  <c r="Y10" i="21" s="1"/>
  <c r="P11" i="21"/>
  <c r="Q11" i="21" s="1"/>
  <c r="U12" i="21"/>
  <c r="Y12" i="21" s="1"/>
  <c r="U13" i="21"/>
  <c r="Y13" i="21" s="1"/>
  <c r="P14" i="21"/>
  <c r="Q14" i="21" s="1"/>
  <c r="U14" i="21" s="1"/>
  <c r="V14" i="21" s="1"/>
  <c r="Z14" i="21" s="1"/>
  <c r="T5" i="21"/>
  <c r="T6" i="21"/>
  <c r="T7" i="21"/>
  <c r="X7" i="21" s="1"/>
  <c r="T8" i="21"/>
  <c r="V8" i="21" s="1"/>
  <c r="T9" i="21"/>
  <c r="T10" i="21"/>
  <c r="T15" i="21" s="1"/>
  <c r="T11" i="21"/>
  <c r="T12" i="21"/>
  <c r="V12" i="21" s="1"/>
  <c r="Z12" i="21" s="1"/>
  <c r="T13" i="21"/>
  <c r="T14" i="21"/>
  <c r="X14" i="21" s="1"/>
  <c r="X8" i="21"/>
  <c r="P13" i="21"/>
  <c r="R13" i="21" s="1"/>
  <c r="S13" i="21" s="1"/>
  <c r="P12" i="21"/>
  <c r="R12" i="21" s="1"/>
  <c r="E5" i="21"/>
  <c r="F5" i="21"/>
  <c r="E6" i="21"/>
  <c r="F6" i="21"/>
  <c r="E7" i="21"/>
  <c r="F7" i="21"/>
  <c r="F40" i="21" s="1"/>
  <c r="E8" i="21"/>
  <c r="E57" i="21" s="1"/>
  <c r="F8" i="21"/>
  <c r="F57" i="21" s="1"/>
  <c r="E9" i="21"/>
  <c r="F9" i="21"/>
  <c r="E10" i="21"/>
  <c r="E59" i="21" s="1"/>
  <c r="F10" i="21"/>
  <c r="F43" i="21" s="1"/>
  <c r="E11" i="21"/>
  <c r="E44" i="21" s="1"/>
  <c r="F11" i="21"/>
  <c r="F44" i="21" s="1"/>
  <c r="C13" i="21"/>
  <c r="C14" i="21" s="1"/>
  <c r="C33" i="21" s="1"/>
  <c r="C46" i="21"/>
  <c r="E13" i="21"/>
  <c r="F13" i="21"/>
  <c r="F46" i="21" s="1"/>
  <c r="D15" i="21"/>
  <c r="D16" i="21" s="1"/>
  <c r="D48" i="21" s="1"/>
  <c r="D29" i="21"/>
  <c r="D21" i="21" s="1"/>
  <c r="C31" i="21"/>
  <c r="C32" i="21"/>
  <c r="A38" i="21"/>
  <c r="A54" i="21" s="1"/>
  <c r="C38" i="21"/>
  <c r="D38" i="21"/>
  <c r="E38" i="21"/>
  <c r="G38" i="21"/>
  <c r="A39" i="21"/>
  <c r="A55" i="21" s="1"/>
  <c r="C39" i="21"/>
  <c r="D39" i="21"/>
  <c r="E39" i="21"/>
  <c r="G39" i="21"/>
  <c r="A40" i="21"/>
  <c r="A56" i="21" s="1"/>
  <c r="C40" i="21"/>
  <c r="D40" i="21"/>
  <c r="E40" i="21"/>
  <c r="G40" i="21"/>
  <c r="A41" i="21"/>
  <c r="A57" i="21" s="1"/>
  <c r="C41" i="21"/>
  <c r="D41" i="21"/>
  <c r="G41" i="21"/>
  <c r="A42" i="21"/>
  <c r="A58" i="21"/>
  <c r="C42" i="21"/>
  <c r="D42" i="21"/>
  <c r="E42" i="21"/>
  <c r="G42" i="21"/>
  <c r="A43" i="21"/>
  <c r="A59" i="21" s="1"/>
  <c r="C43" i="21"/>
  <c r="D43" i="21"/>
  <c r="E43" i="21"/>
  <c r="G43" i="21"/>
  <c r="A44" i="21"/>
  <c r="A60" i="21" s="1"/>
  <c r="C44" i="21"/>
  <c r="D44" i="21"/>
  <c r="G44" i="21"/>
  <c r="A45" i="21"/>
  <c r="A61" i="21" s="1"/>
  <c r="C45" i="21"/>
  <c r="D45" i="21"/>
  <c r="E45" i="21"/>
  <c r="F45" i="21"/>
  <c r="G45" i="21"/>
  <c r="A46" i="21"/>
  <c r="A62" i="21" s="1"/>
  <c r="D46" i="21"/>
  <c r="E46" i="21"/>
  <c r="G46" i="21"/>
  <c r="A47" i="21"/>
  <c r="A63" i="21" s="1"/>
  <c r="D47" i="21"/>
  <c r="A48" i="21"/>
  <c r="A64" i="21" s="1"/>
  <c r="C54" i="21"/>
  <c r="D54" i="21"/>
  <c r="E54" i="21"/>
  <c r="G54" i="21"/>
  <c r="C55" i="21"/>
  <c r="D55" i="21"/>
  <c r="E55" i="21"/>
  <c r="G55" i="21"/>
  <c r="C56" i="21"/>
  <c r="D56" i="21"/>
  <c r="E56" i="21"/>
  <c r="G56" i="21"/>
  <c r="C57" i="21"/>
  <c r="D57" i="21"/>
  <c r="G57" i="21"/>
  <c r="C58" i="21"/>
  <c r="D58" i="21"/>
  <c r="E58" i="21"/>
  <c r="G58" i="21"/>
  <c r="C59" i="21"/>
  <c r="D59" i="21"/>
  <c r="G59" i="21"/>
  <c r="C60" i="21"/>
  <c r="D60" i="21"/>
  <c r="G60" i="21"/>
  <c r="C61" i="21"/>
  <c r="D61" i="21"/>
  <c r="E61" i="21"/>
  <c r="F61" i="21"/>
  <c r="G61" i="21"/>
  <c r="D62" i="21"/>
  <c r="E62" i="21"/>
  <c r="F62" i="21"/>
  <c r="G62" i="21"/>
  <c r="D63" i="21"/>
  <c r="D29" i="19"/>
  <c r="D21" i="19" s="1"/>
  <c r="E21" i="19" s="1"/>
  <c r="G21" i="19"/>
  <c r="D29" i="20"/>
  <c r="D21" i="20" s="1"/>
  <c r="E5" i="20"/>
  <c r="F5" i="20"/>
  <c r="R5" i="20"/>
  <c r="E6" i="20"/>
  <c r="F6" i="20"/>
  <c r="F39" i="20" s="1"/>
  <c r="R6" i="20"/>
  <c r="E7" i="20"/>
  <c r="E40" i="20" s="1"/>
  <c r="F7" i="20"/>
  <c r="R7" i="20"/>
  <c r="E8" i="20"/>
  <c r="E41" i="20" s="1"/>
  <c r="F8" i="20"/>
  <c r="F57" i="20" s="1"/>
  <c r="E9" i="20"/>
  <c r="F9" i="20"/>
  <c r="E10" i="20"/>
  <c r="F10" i="20"/>
  <c r="E11" i="20"/>
  <c r="F11" i="20"/>
  <c r="C13" i="20"/>
  <c r="C30" i="20" s="1"/>
  <c r="C15" i="20"/>
  <c r="C16" i="20" s="1"/>
  <c r="E13" i="20"/>
  <c r="E46" i="20" s="1"/>
  <c r="F13" i="20"/>
  <c r="F46" i="20" s="1"/>
  <c r="E14" i="20"/>
  <c r="F14" i="20"/>
  <c r="F63" i="20" s="1"/>
  <c r="D15" i="20"/>
  <c r="D16" i="20" s="1"/>
  <c r="G15" i="20"/>
  <c r="G16" i="20" s="1"/>
  <c r="D28" i="20"/>
  <c r="G28" i="20"/>
  <c r="G29" i="20"/>
  <c r="G21" i="20" s="1"/>
  <c r="D30" i="20"/>
  <c r="G30" i="20"/>
  <c r="C31" i="20"/>
  <c r="C32" i="20"/>
  <c r="A38" i="20"/>
  <c r="A54" i="20" s="1"/>
  <c r="C38" i="20"/>
  <c r="D38" i="20"/>
  <c r="E38" i="20"/>
  <c r="G38" i="20"/>
  <c r="A39" i="20"/>
  <c r="A55" i="20" s="1"/>
  <c r="C39" i="20"/>
  <c r="D39" i="20"/>
  <c r="E39" i="20"/>
  <c r="G39" i="20"/>
  <c r="A40" i="20"/>
  <c r="A56" i="20"/>
  <c r="C40" i="20"/>
  <c r="D40" i="20"/>
  <c r="F40" i="20"/>
  <c r="G40" i="20"/>
  <c r="A41" i="20"/>
  <c r="A57" i="20" s="1"/>
  <c r="C41" i="20"/>
  <c r="D41" i="20"/>
  <c r="G41" i="20"/>
  <c r="A42" i="20"/>
  <c r="C42" i="20"/>
  <c r="D42" i="20"/>
  <c r="E42" i="20"/>
  <c r="G42" i="20"/>
  <c r="A43" i="20"/>
  <c r="A59" i="20"/>
  <c r="C43" i="20"/>
  <c r="D43" i="20"/>
  <c r="G43" i="20"/>
  <c r="A44" i="20"/>
  <c r="A60" i="20" s="1"/>
  <c r="C44" i="20"/>
  <c r="D44" i="20"/>
  <c r="E44" i="20"/>
  <c r="G44" i="20"/>
  <c r="A45" i="20"/>
  <c r="A61" i="20" s="1"/>
  <c r="C45" i="20"/>
  <c r="D45" i="20"/>
  <c r="E45" i="20"/>
  <c r="F45" i="20"/>
  <c r="G45" i="20"/>
  <c r="A46" i="20"/>
  <c r="A62" i="20" s="1"/>
  <c r="D46" i="20"/>
  <c r="G46" i="20"/>
  <c r="A47" i="20"/>
  <c r="A63" i="20" s="1"/>
  <c r="C47" i="20"/>
  <c r="D47" i="20"/>
  <c r="G47" i="20"/>
  <c r="A48" i="20"/>
  <c r="C54" i="20"/>
  <c r="D54" i="20"/>
  <c r="E54" i="20"/>
  <c r="G54" i="20"/>
  <c r="C55" i="20"/>
  <c r="D55" i="20"/>
  <c r="G55" i="20"/>
  <c r="C56" i="20"/>
  <c r="D56" i="20"/>
  <c r="E56" i="20"/>
  <c r="F56" i="20"/>
  <c r="G56" i="20"/>
  <c r="C57" i="20"/>
  <c r="D57" i="20"/>
  <c r="G57" i="20"/>
  <c r="A58" i="20"/>
  <c r="C58" i="20"/>
  <c r="D58" i="20"/>
  <c r="G58" i="20"/>
  <c r="C59" i="20"/>
  <c r="D59" i="20"/>
  <c r="G59" i="20"/>
  <c r="C60" i="20"/>
  <c r="D60" i="20"/>
  <c r="E60" i="20"/>
  <c r="G60" i="20"/>
  <c r="C61" i="20"/>
  <c r="D61" i="20"/>
  <c r="E61" i="20"/>
  <c r="F61" i="20"/>
  <c r="G61" i="20"/>
  <c r="C62" i="20"/>
  <c r="D62" i="20"/>
  <c r="E62" i="20"/>
  <c r="G62" i="20"/>
  <c r="C63" i="20"/>
  <c r="D63" i="20"/>
  <c r="G63" i="20"/>
  <c r="A64" i="20"/>
  <c r="R5" i="19"/>
  <c r="R6" i="19"/>
  <c r="G27" i="19" s="1"/>
  <c r="R7" i="19"/>
  <c r="E5" i="19"/>
  <c r="E13" i="19"/>
  <c r="E46" i="19" s="1"/>
  <c r="E14" i="19"/>
  <c r="E6" i="19"/>
  <c r="E39" i="19" s="1"/>
  <c r="F5" i="19"/>
  <c r="F54" i="19" s="1"/>
  <c r="F13" i="19"/>
  <c r="F14" i="19"/>
  <c r="F47" i="19" s="1"/>
  <c r="F6" i="19"/>
  <c r="D28" i="19"/>
  <c r="G28" i="19"/>
  <c r="G29" i="19"/>
  <c r="D30" i="19"/>
  <c r="G30" i="19"/>
  <c r="C32" i="19"/>
  <c r="C31" i="19"/>
  <c r="E11" i="19"/>
  <c r="E60" i="19" s="1"/>
  <c r="E7" i="19"/>
  <c r="E40" i="19" s="1"/>
  <c r="E8" i="19"/>
  <c r="E57" i="19" s="1"/>
  <c r="E9" i="19"/>
  <c r="E58" i="19"/>
  <c r="E10" i="19"/>
  <c r="E59" i="19" s="1"/>
  <c r="E56" i="19"/>
  <c r="E61" i="19"/>
  <c r="E62" i="19"/>
  <c r="E42" i="19"/>
  <c r="E45" i="19"/>
  <c r="E47" i="19"/>
  <c r="F7" i="19"/>
  <c r="F8" i="19"/>
  <c r="F57" i="19" s="1"/>
  <c r="F9" i="19"/>
  <c r="F10" i="19"/>
  <c r="F59" i="19" s="1"/>
  <c r="F11" i="19"/>
  <c r="C13" i="19"/>
  <c r="C14" i="19" s="1"/>
  <c r="D15" i="19"/>
  <c r="D16" i="19" s="1"/>
  <c r="G15" i="19"/>
  <c r="G16" i="19" s="1"/>
  <c r="A38" i="19"/>
  <c r="C38" i="19"/>
  <c r="D38" i="19"/>
  <c r="G38" i="19"/>
  <c r="A39" i="19"/>
  <c r="A55" i="19" s="1"/>
  <c r="C39" i="19"/>
  <c r="D39" i="19"/>
  <c r="G39" i="19"/>
  <c r="A40" i="19"/>
  <c r="A56" i="19" s="1"/>
  <c r="C40" i="19"/>
  <c r="D40" i="19"/>
  <c r="G40" i="19"/>
  <c r="A41" i="19"/>
  <c r="A57" i="19" s="1"/>
  <c r="C41" i="19"/>
  <c r="D41" i="19"/>
  <c r="F41" i="19"/>
  <c r="G41" i="19"/>
  <c r="A42" i="19"/>
  <c r="C42" i="19"/>
  <c r="D42" i="19"/>
  <c r="F42" i="19"/>
  <c r="G42" i="19"/>
  <c r="A43" i="19"/>
  <c r="A59" i="19" s="1"/>
  <c r="C43" i="19"/>
  <c r="D43" i="19"/>
  <c r="G43" i="19"/>
  <c r="A44" i="19"/>
  <c r="C44" i="19"/>
  <c r="D44" i="19"/>
  <c r="G44" i="19"/>
  <c r="A45" i="19"/>
  <c r="A61" i="19" s="1"/>
  <c r="C45" i="19"/>
  <c r="D45" i="19"/>
  <c r="F45" i="19"/>
  <c r="G45" i="19"/>
  <c r="A46" i="19"/>
  <c r="A62" i="19" s="1"/>
  <c r="C46" i="19"/>
  <c r="D46" i="19"/>
  <c r="F46" i="19"/>
  <c r="G46" i="19"/>
  <c r="A47" i="19"/>
  <c r="A63" i="19" s="1"/>
  <c r="D47" i="19"/>
  <c r="G47" i="19"/>
  <c r="A48" i="19"/>
  <c r="A64" i="19"/>
  <c r="A54" i="19"/>
  <c r="C54" i="19"/>
  <c r="D54" i="19"/>
  <c r="G54" i="19"/>
  <c r="C55" i="19"/>
  <c r="D55" i="19"/>
  <c r="G55" i="19"/>
  <c r="C56" i="19"/>
  <c r="D56" i="19"/>
  <c r="G56" i="19"/>
  <c r="C57" i="19"/>
  <c r="D57" i="19"/>
  <c r="G57" i="19"/>
  <c r="A58" i="19"/>
  <c r="C58" i="19"/>
  <c r="D58" i="19"/>
  <c r="F58" i="19"/>
  <c r="G58" i="19"/>
  <c r="C59" i="19"/>
  <c r="D59" i="19"/>
  <c r="G59" i="19"/>
  <c r="A60" i="19"/>
  <c r="C60" i="19"/>
  <c r="D60" i="19"/>
  <c r="G60" i="19"/>
  <c r="C61" i="19"/>
  <c r="D61" i="19"/>
  <c r="F61" i="19"/>
  <c r="G61" i="19"/>
  <c r="C62" i="19"/>
  <c r="D62" i="19"/>
  <c r="F62" i="19"/>
  <c r="G62" i="19"/>
  <c r="D63" i="19"/>
  <c r="G63" i="19"/>
  <c r="N11" i="22"/>
  <c r="N6" i="22"/>
  <c r="T6" i="22"/>
  <c r="N7" i="22"/>
  <c r="C14" i="22"/>
  <c r="C28" i="22" s="1"/>
  <c r="E38" i="22"/>
  <c r="F39" i="22"/>
  <c r="F41" i="22"/>
  <c r="E42" i="22"/>
  <c r="E44" i="22"/>
  <c r="J45" i="22"/>
  <c r="C46" i="22"/>
  <c r="E46" i="22"/>
  <c r="E55" i="22"/>
  <c r="E59" i="22"/>
  <c r="E63" i="22"/>
  <c r="I63" i="22"/>
  <c r="G22" i="22"/>
  <c r="G23" i="22"/>
  <c r="G24" i="22" s="1"/>
  <c r="C30" i="22"/>
  <c r="X11" i="21"/>
  <c r="X9" i="21"/>
  <c r="X5" i="21"/>
  <c r="C47" i="22"/>
  <c r="C63" i="22"/>
  <c r="Y8" i="21"/>
  <c r="Z8" i="21"/>
  <c r="I40" i="21"/>
  <c r="M14" i="21"/>
  <c r="M34" i="21"/>
  <c r="M62" i="21"/>
  <c r="N29" i="21"/>
  <c r="N21" i="21"/>
  <c r="N33" i="21"/>
  <c r="N30" i="21"/>
  <c r="N63" i="21"/>
  <c r="N27" i="21"/>
  <c r="N47" i="21"/>
  <c r="N28" i="21"/>
  <c r="Y5" i="21"/>
  <c r="V5" i="21"/>
  <c r="Z5" i="21" s="1"/>
  <c r="X13" i="21"/>
  <c r="H64" i="21"/>
  <c r="D27" i="21"/>
  <c r="L27" i="21"/>
  <c r="I39" i="22"/>
  <c r="E43" i="20"/>
  <c r="D22" i="21"/>
  <c r="D23" i="21" s="1"/>
  <c r="D24" i="21" s="1"/>
  <c r="F21" i="21"/>
  <c r="F59" i="21"/>
  <c r="F42" i="22"/>
  <c r="F58" i="22"/>
  <c r="G49" i="22"/>
  <c r="R12" i="22"/>
  <c r="V12" i="22" s="1"/>
  <c r="F38" i="19"/>
  <c r="I15" i="22"/>
  <c r="I16" i="22" s="1"/>
  <c r="I64" i="22" s="1"/>
  <c r="F41" i="20"/>
  <c r="F44" i="20"/>
  <c r="F60" i="20"/>
  <c r="C62" i="21"/>
  <c r="F58" i="21"/>
  <c r="F42" i="21"/>
  <c r="F54" i="21"/>
  <c r="F38" i="21"/>
  <c r="X12" i="21"/>
  <c r="F43" i="22"/>
  <c r="F59" i="22"/>
  <c r="U13" i="22"/>
  <c r="J58" i="21"/>
  <c r="E59" i="20"/>
  <c r="E30" i="20"/>
  <c r="H27" i="21"/>
  <c r="J38" i="22"/>
  <c r="E21" i="21"/>
  <c r="F30" i="22"/>
  <c r="E63" i="19"/>
  <c r="Q7" i="21"/>
  <c r="R7" i="21"/>
  <c r="F38" i="22"/>
  <c r="F28" i="22"/>
  <c r="F54" i="22"/>
  <c r="G27" i="22"/>
  <c r="I59" i="22"/>
  <c r="F60" i="22"/>
  <c r="N14" i="22"/>
  <c r="R5" i="21"/>
  <c r="C29" i="22"/>
  <c r="C21" i="22" s="1"/>
  <c r="E41" i="19"/>
  <c r="M30" i="21"/>
  <c r="M28" i="21"/>
  <c r="M29" i="21"/>
  <c r="M21" i="21" s="1"/>
  <c r="M22" i="21" s="1"/>
  <c r="M15" i="21"/>
  <c r="M16" i="21" s="1"/>
  <c r="M27" i="21"/>
  <c r="M63" i="21"/>
  <c r="M47" i="21"/>
  <c r="U7" i="21"/>
  <c r="V7" i="21" s="1"/>
  <c r="Z7" i="21" s="1"/>
  <c r="Y7" i="21"/>
  <c r="D64" i="20" l="1"/>
  <c r="D48" i="20"/>
  <c r="I21" i="21"/>
  <c r="J21" i="21"/>
  <c r="H22" i="21"/>
  <c r="H23" i="21" s="1"/>
  <c r="H24" i="21" s="1"/>
  <c r="C15" i="19"/>
  <c r="C16" i="19" s="1"/>
  <c r="C48" i="19" s="1"/>
  <c r="C49" i="19" s="1"/>
  <c r="C47" i="19"/>
  <c r="C63" i="19"/>
  <c r="C30" i="19"/>
  <c r="C29" i="19"/>
  <c r="C21" i="19" s="1"/>
  <c r="U11" i="21"/>
  <c r="Y11" i="21" s="1"/>
  <c r="R11" i="21"/>
  <c r="J34" i="21"/>
  <c r="J15" i="22"/>
  <c r="J16" i="22" s="1"/>
  <c r="I45" i="21"/>
  <c r="J58" i="22"/>
  <c r="I56" i="22"/>
  <c r="R6" i="22"/>
  <c r="V6" i="22" s="1"/>
  <c r="V13" i="21"/>
  <c r="Z13" i="21" s="1"/>
  <c r="F56" i="22"/>
  <c r="J43" i="22"/>
  <c r="I60" i="22"/>
  <c r="F43" i="19"/>
  <c r="E57" i="20"/>
  <c r="E60" i="21"/>
  <c r="J44" i="21"/>
  <c r="I42" i="22"/>
  <c r="D49" i="22"/>
  <c r="I48" i="22"/>
  <c r="I42" i="21"/>
  <c r="E15" i="22"/>
  <c r="E16" i="22" s="1"/>
  <c r="F55" i="20"/>
  <c r="D49" i="21"/>
  <c r="J57" i="22"/>
  <c r="J59" i="22"/>
  <c r="F15" i="22"/>
  <c r="F16" i="22" s="1"/>
  <c r="F64" i="22" s="1"/>
  <c r="M8" i="22"/>
  <c r="Q8" i="22" s="1"/>
  <c r="I58" i="22"/>
  <c r="F27" i="22"/>
  <c r="J30" i="22"/>
  <c r="J14" i="21"/>
  <c r="R7" i="22"/>
  <c r="V7" i="22" s="1"/>
  <c r="I55" i="22"/>
  <c r="R10" i="21"/>
  <c r="C28" i="19"/>
  <c r="I46" i="22"/>
  <c r="J41" i="22"/>
  <c r="I54" i="22"/>
  <c r="I65" i="22" s="1"/>
  <c r="F62" i="20"/>
  <c r="F47" i="20"/>
  <c r="J55" i="22"/>
  <c r="E56" i="22"/>
  <c r="T11" i="22"/>
  <c r="N65" i="21"/>
  <c r="I55" i="21"/>
  <c r="F29" i="22"/>
  <c r="D48" i="22"/>
  <c r="J54" i="22"/>
  <c r="F33" i="22"/>
  <c r="I28" i="22"/>
  <c r="E40" i="22"/>
  <c r="E43" i="19"/>
  <c r="J41" i="21"/>
  <c r="J39" i="21"/>
  <c r="J61" i="22"/>
  <c r="F63" i="19"/>
  <c r="G22" i="20"/>
  <c r="G23" i="20" s="1"/>
  <c r="G24" i="20" s="1"/>
  <c r="I44" i="22"/>
  <c r="J46" i="22"/>
  <c r="I61" i="22"/>
  <c r="I43" i="22"/>
  <c r="J60" i="22"/>
  <c r="N9" i="22"/>
  <c r="I60" i="21"/>
  <c r="I40" i="22"/>
  <c r="H65" i="21"/>
  <c r="I57" i="22"/>
  <c r="E44" i="19"/>
  <c r="F60" i="21"/>
  <c r="J61" i="21"/>
  <c r="J40" i="21"/>
  <c r="J44" i="22"/>
  <c r="D65" i="22"/>
  <c r="K64" i="21"/>
  <c r="K65" i="21" s="1"/>
  <c r="K29" i="21"/>
  <c r="K21" i="21" s="1"/>
  <c r="K22" i="21" s="1"/>
  <c r="K23" i="21" s="1"/>
  <c r="K24" i="21" s="1"/>
  <c r="E48" i="22"/>
  <c r="E64" i="22"/>
  <c r="G65" i="20"/>
  <c r="C64" i="20"/>
  <c r="C65" i="20" s="1"/>
  <c r="C48" i="20"/>
  <c r="C63" i="21"/>
  <c r="C34" i="21"/>
  <c r="C47" i="21"/>
  <c r="C15" i="21"/>
  <c r="C16" i="21" s="1"/>
  <c r="C30" i="21"/>
  <c r="C23" i="22"/>
  <c r="C24" i="22" s="1"/>
  <c r="C22" i="22"/>
  <c r="G48" i="20"/>
  <c r="G49" i="20" s="1"/>
  <c r="G64" i="20"/>
  <c r="M64" i="21"/>
  <c r="M65" i="21" s="1"/>
  <c r="M48" i="21"/>
  <c r="M49" i="21" s="1"/>
  <c r="J64" i="22"/>
  <c r="J48" i="22"/>
  <c r="F39" i="19"/>
  <c r="F15" i="19"/>
  <c r="F16" i="19" s="1"/>
  <c r="F28" i="19"/>
  <c r="F55" i="19"/>
  <c r="F27" i="19"/>
  <c r="E54" i="19"/>
  <c r="E38" i="19"/>
  <c r="E27" i="19"/>
  <c r="E29" i="19"/>
  <c r="E47" i="20"/>
  <c r="E63" i="20"/>
  <c r="F43" i="20"/>
  <c r="F59" i="20"/>
  <c r="F30" i="21"/>
  <c r="J59" i="21"/>
  <c r="J43" i="21"/>
  <c r="J38" i="21"/>
  <c r="J54" i="21"/>
  <c r="J29" i="21"/>
  <c r="N48" i="21"/>
  <c r="N49" i="21" s="1"/>
  <c r="E30" i="19"/>
  <c r="F15" i="20"/>
  <c r="F16" i="20" s="1"/>
  <c r="F39" i="21"/>
  <c r="D48" i="19"/>
  <c r="D49" i="19" s="1"/>
  <c r="D64" i="19"/>
  <c r="D65" i="19" s="1"/>
  <c r="F40" i="19"/>
  <c r="F56" i="19"/>
  <c r="E55" i="19"/>
  <c r="D27" i="19"/>
  <c r="C27" i="19"/>
  <c r="J40" i="22"/>
  <c r="J56" i="22"/>
  <c r="J29" i="22"/>
  <c r="M10" i="22"/>
  <c r="M15" i="22" s="1"/>
  <c r="L15" i="22"/>
  <c r="H64" i="22"/>
  <c r="H48" i="22"/>
  <c r="H49" i="22" s="1"/>
  <c r="H22" i="22"/>
  <c r="H23" i="22" s="1"/>
  <c r="H24" i="22" s="1"/>
  <c r="J21" i="22"/>
  <c r="E22" i="22"/>
  <c r="J27" i="21"/>
  <c r="C28" i="21"/>
  <c r="M23" i="21"/>
  <c r="M24" i="21" s="1"/>
  <c r="E27" i="22"/>
  <c r="I56" i="21"/>
  <c r="I43" i="21"/>
  <c r="I14" i="21"/>
  <c r="D23" i="22"/>
  <c r="D24" i="22" s="1"/>
  <c r="E28" i="20"/>
  <c r="F55" i="21"/>
  <c r="I58" i="21"/>
  <c r="E41" i="21"/>
  <c r="Q5" i="22"/>
  <c r="D64" i="21"/>
  <c r="D65" i="21" s="1"/>
  <c r="I44" i="21"/>
  <c r="F21" i="19"/>
  <c r="J27" i="22"/>
  <c r="F42" i="20"/>
  <c r="F58" i="20"/>
  <c r="G63" i="21"/>
  <c r="X10" i="21"/>
  <c r="V10" i="21"/>
  <c r="Z10" i="21" s="1"/>
  <c r="X6" i="21"/>
  <c r="X15" i="21" s="1"/>
  <c r="Q9" i="21"/>
  <c r="R9" i="21" s="1"/>
  <c r="P15" i="21"/>
  <c r="H49" i="21"/>
  <c r="I38" i="21"/>
  <c r="I41" i="22"/>
  <c r="I29" i="22"/>
  <c r="I27" i="22"/>
  <c r="I30" i="22"/>
  <c r="R9" i="22"/>
  <c r="V9" i="22" s="1"/>
  <c r="U9" i="22"/>
  <c r="F46" i="22"/>
  <c r="F62" i="22"/>
  <c r="R13" i="22"/>
  <c r="V13" i="22" s="1"/>
  <c r="P15" i="22"/>
  <c r="T14" i="22"/>
  <c r="T15" i="22" s="1"/>
  <c r="R14" i="22"/>
  <c r="V14" i="22" s="1"/>
  <c r="G64" i="22"/>
  <c r="G65" i="22" s="1"/>
  <c r="F21" i="22"/>
  <c r="F23" i="22" s="1"/>
  <c r="F24" i="22" s="1"/>
  <c r="E21" i="22"/>
  <c r="E23" i="22" s="1"/>
  <c r="E24" i="22" s="1"/>
  <c r="G64" i="19"/>
  <c r="G65" i="19" s="1"/>
  <c r="G48" i="19"/>
  <c r="G49" i="19" s="1"/>
  <c r="F44" i="19"/>
  <c r="F60" i="19"/>
  <c r="G22" i="19"/>
  <c r="G23" i="19" s="1"/>
  <c r="G24" i="19" s="1"/>
  <c r="J63" i="22"/>
  <c r="J47" i="22"/>
  <c r="G34" i="21"/>
  <c r="G47" i="21"/>
  <c r="G15" i="21"/>
  <c r="G16" i="21" s="1"/>
  <c r="G30" i="21"/>
  <c r="C27" i="22"/>
  <c r="J28" i="21"/>
  <c r="F30" i="19"/>
  <c r="E15" i="19"/>
  <c r="E16" i="19" s="1"/>
  <c r="N22" i="21"/>
  <c r="N23" i="21" s="1"/>
  <c r="N24" i="21" s="1"/>
  <c r="Y14" i="21"/>
  <c r="F14" i="21"/>
  <c r="J28" i="22"/>
  <c r="E28" i="19"/>
  <c r="D65" i="20"/>
  <c r="G27" i="20"/>
  <c r="C27" i="20"/>
  <c r="D27" i="20"/>
  <c r="F54" i="20"/>
  <c r="F27" i="20"/>
  <c r="F29" i="20"/>
  <c r="F30" i="20"/>
  <c r="F38" i="20"/>
  <c r="F28" i="20"/>
  <c r="G29" i="21"/>
  <c r="E34" i="21"/>
  <c r="E14" i="21"/>
  <c r="E15" i="21" s="1"/>
  <c r="E16" i="21" s="1"/>
  <c r="I61" i="21"/>
  <c r="I59" i="21"/>
  <c r="I57" i="21"/>
  <c r="I41" i="21"/>
  <c r="J30" i="21"/>
  <c r="E29" i="21"/>
  <c r="C27" i="21"/>
  <c r="C29" i="21"/>
  <c r="C21" i="21" s="1"/>
  <c r="C22" i="21" s="1"/>
  <c r="C15" i="22"/>
  <c r="C16" i="22" s="1"/>
  <c r="G22" i="21"/>
  <c r="G23" i="21" s="1"/>
  <c r="G24" i="21" s="1"/>
  <c r="H27" i="22"/>
  <c r="I54" i="21"/>
  <c r="I39" i="21"/>
  <c r="J15" i="21"/>
  <c r="J16" i="21" s="1"/>
  <c r="F15" i="21"/>
  <c r="F16" i="21" s="1"/>
  <c r="I21" i="22"/>
  <c r="G27" i="21"/>
  <c r="F29" i="19"/>
  <c r="I28" i="21"/>
  <c r="L48" i="21"/>
  <c r="L49" i="21" s="1"/>
  <c r="L23" i="21"/>
  <c r="L24" i="21" s="1"/>
  <c r="D22" i="19"/>
  <c r="J62" i="22"/>
  <c r="D49" i="20"/>
  <c r="E58" i="20"/>
  <c r="E29" i="20"/>
  <c r="E27" i="20"/>
  <c r="F21" i="20"/>
  <c r="D22" i="20"/>
  <c r="E21" i="20"/>
  <c r="D23" i="20"/>
  <c r="D24" i="20" s="1"/>
  <c r="F41" i="21"/>
  <c r="U6" i="21"/>
  <c r="V6" i="21" s="1"/>
  <c r="R6" i="21"/>
  <c r="I46" i="21"/>
  <c r="E41" i="22"/>
  <c r="E49" i="22" s="1"/>
  <c r="E33" i="22"/>
  <c r="E28" i="22"/>
  <c r="E57" i="22"/>
  <c r="E65" i="22" s="1"/>
  <c r="E29" i="22"/>
  <c r="H65" i="22"/>
  <c r="K49" i="21"/>
  <c r="L65" i="21"/>
  <c r="C28" i="20"/>
  <c r="C29" i="20"/>
  <c r="C21" i="20" s="1"/>
  <c r="C46" i="20"/>
  <c r="C49" i="20" s="1"/>
  <c r="E15" i="20"/>
  <c r="E16" i="20" s="1"/>
  <c r="E55" i="20"/>
  <c r="I45" i="22"/>
  <c r="I47" i="22"/>
  <c r="D30" i="21"/>
  <c r="D34" i="21"/>
  <c r="D28" i="21"/>
  <c r="V11" i="21"/>
  <c r="Z11" i="21" s="1"/>
  <c r="R14" i="21"/>
  <c r="C33" i="22"/>
  <c r="F56" i="21"/>
  <c r="J45" i="21"/>
  <c r="F48" i="22" l="1"/>
  <c r="F49" i="22" s="1"/>
  <c r="C64" i="19"/>
  <c r="C65" i="19" s="1"/>
  <c r="F65" i="22"/>
  <c r="J63" i="21"/>
  <c r="J22" i="21"/>
  <c r="J23" i="21" s="1"/>
  <c r="J24" i="21" s="1"/>
  <c r="J47" i="21"/>
  <c r="C22" i="19"/>
  <c r="C23" i="19" s="1"/>
  <c r="C24" i="19" s="1"/>
  <c r="R8" i="22"/>
  <c r="V8" i="22" s="1"/>
  <c r="U8" i="22"/>
  <c r="N8" i="22"/>
  <c r="F64" i="21"/>
  <c r="F48" i="21"/>
  <c r="Z6" i="21"/>
  <c r="I15" i="21"/>
  <c r="I16" i="21" s="1"/>
  <c r="I27" i="21"/>
  <c r="I47" i="21"/>
  <c r="I22" i="21"/>
  <c r="I23" i="21" s="1"/>
  <c r="I24" i="21" s="1"/>
  <c r="I34" i="21"/>
  <c r="I63" i="21"/>
  <c r="F22" i="19"/>
  <c r="E22" i="19"/>
  <c r="E23" i="19" s="1"/>
  <c r="E24" i="19" s="1"/>
  <c r="D23" i="19"/>
  <c r="D24" i="19" s="1"/>
  <c r="F63" i="21"/>
  <c r="F47" i="21"/>
  <c r="F22" i="21"/>
  <c r="F23" i="21" s="1"/>
  <c r="F24" i="21" s="1"/>
  <c r="E64" i="19"/>
  <c r="E65" i="19" s="1"/>
  <c r="E48" i="19"/>
  <c r="F23" i="19"/>
  <c r="F24" i="19" s="1"/>
  <c r="F28" i="21"/>
  <c r="Y6" i="21"/>
  <c r="F22" i="20"/>
  <c r="E22" i="20"/>
  <c r="E23" i="20" s="1"/>
  <c r="E24" i="20" s="1"/>
  <c r="J48" i="21"/>
  <c r="J64" i="21"/>
  <c r="E63" i="21"/>
  <c r="E22" i="21"/>
  <c r="E23" i="21" s="1"/>
  <c r="E24" i="21" s="1"/>
  <c r="E47" i="21"/>
  <c r="E30" i="21"/>
  <c r="E27" i="21"/>
  <c r="G48" i="21"/>
  <c r="G49" i="21" s="1"/>
  <c r="G64" i="21"/>
  <c r="G65" i="21" s="1"/>
  <c r="I49" i="22"/>
  <c r="N15" i="22"/>
  <c r="J49" i="22"/>
  <c r="J49" i="21"/>
  <c r="F27" i="21"/>
  <c r="F48" i="19"/>
  <c r="F49" i="19" s="1"/>
  <c r="F64" i="19"/>
  <c r="F65" i="19" s="1"/>
  <c r="E28" i="21"/>
  <c r="C23" i="21"/>
  <c r="C24" i="21" s="1"/>
  <c r="F64" i="20"/>
  <c r="F65" i="20" s="1"/>
  <c r="F48" i="20"/>
  <c r="F49" i="20" s="1"/>
  <c r="C48" i="21"/>
  <c r="C49" i="21" s="1"/>
  <c r="C64" i="21"/>
  <c r="C65" i="21" s="1"/>
  <c r="C22" i="20"/>
  <c r="C23" i="20" s="1"/>
  <c r="C24" i="20" s="1"/>
  <c r="R5" i="22"/>
  <c r="U5" i="22"/>
  <c r="F65" i="21"/>
  <c r="E48" i="21"/>
  <c r="E64" i="21"/>
  <c r="J65" i="22"/>
  <c r="F34" i="21"/>
  <c r="J65" i="21"/>
  <c r="E49" i="19"/>
  <c r="E48" i="20"/>
  <c r="E49" i="20" s="1"/>
  <c r="E64" i="20"/>
  <c r="E65" i="20" s="1"/>
  <c r="F23" i="20"/>
  <c r="F24" i="20" s="1"/>
  <c r="C48" i="22"/>
  <c r="C49" i="22" s="1"/>
  <c r="C64" i="22"/>
  <c r="C65" i="22" s="1"/>
  <c r="I29" i="21"/>
  <c r="I30" i="21"/>
  <c r="U9" i="21"/>
  <c r="Q15" i="21"/>
  <c r="R15" i="21" s="1"/>
  <c r="I22" i="22"/>
  <c r="I23" i="22" s="1"/>
  <c r="I24" i="22" s="1"/>
  <c r="J22" i="22"/>
  <c r="J23" i="22" s="1"/>
  <c r="J24" i="22" s="1"/>
  <c r="Q10" i="22"/>
  <c r="N10" i="22"/>
  <c r="F29" i="21"/>
  <c r="E49" i="21" l="1"/>
  <c r="F49" i="21"/>
  <c r="E65" i="21"/>
  <c r="I48" i="21"/>
  <c r="I49" i="21" s="1"/>
  <c r="I64" i="21"/>
  <c r="I65" i="21" s="1"/>
  <c r="U10" i="22"/>
  <c r="U15" i="22" s="1"/>
  <c r="R10" i="22"/>
  <c r="V10" i="22" s="1"/>
  <c r="Y9" i="21"/>
  <c r="Y15" i="21" s="1"/>
  <c r="V9" i="21"/>
  <c r="V5" i="22"/>
  <c r="Q15" i="22"/>
  <c r="U15" i="21"/>
  <c r="V15" i="22" l="1"/>
  <c r="R15" i="22"/>
  <c r="Z9" i="21"/>
  <c r="Z15" i="21" s="1"/>
  <c r="V15" i="21"/>
</calcChain>
</file>

<file path=xl/sharedStrings.xml><?xml version="1.0" encoding="utf-8"?>
<sst xmlns="http://schemas.openxmlformats.org/spreadsheetml/2006/main" count="304" uniqueCount="65">
  <si>
    <t>Ingredient</t>
  </si>
  <si>
    <t>Starter</t>
  </si>
  <si>
    <t>Grower</t>
  </si>
  <si>
    <t>Finisher</t>
  </si>
  <si>
    <t>Sow</t>
  </si>
  <si>
    <t>Sow add pack</t>
  </si>
  <si>
    <t>L-lysine HCl</t>
  </si>
  <si>
    <t>DL-Methionine</t>
  </si>
  <si>
    <t>Salt</t>
  </si>
  <si>
    <t>Monocalcium phosphate (21% P)</t>
  </si>
  <si>
    <t>Calcium carbonate</t>
  </si>
  <si>
    <t>Subtotal</t>
  </si>
  <si>
    <t>Carrier</t>
  </si>
  <si>
    <t>Total</t>
  </si>
  <si>
    <t>Composition changes if dicalcium phosphate is used as the phosphorus source</t>
  </si>
  <si>
    <t>Dicalcium phosphate (18.5% P)</t>
  </si>
  <si>
    <t>Limestone</t>
  </si>
  <si>
    <t>Ingredient profile in 1 ton of base mix</t>
  </si>
  <si>
    <t>Ingredient profile in 3 ton of base mix</t>
  </si>
  <si>
    <t>Products:</t>
  </si>
  <si>
    <t>Base mix composition with monocalcium phosphate as phosphorus source and phytase</t>
  </si>
  <si>
    <t>22% max</t>
  </si>
  <si>
    <t>21% max</t>
  </si>
  <si>
    <t>with lysine HCl</t>
  </si>
  <si>
    <t>L-threonine</t>
  </si>
  <si>
    <t>Natuphos 600</t>
  </si>
  <si>
    <t>GF base</t>
  </si>
  <si>
    <t>Vitamin premix with phytase 2x</t>
  </si>
  <si>
    <t>Trace mineral premix 1.5x</t>
  </si>
  <si>
    <t>Calcium max</t>
  </si>
  <si>
    <t>Calcium min</t>
  </si>
  <si>
    <t>Phosphorus</t>
  </si>
  <si>
    <t>Lysine</t>
  </si>
  <si>
    <t>Calcium Max, %</t>
  </si>
  <si>
    <t>Calcium Min, %</t>
  </si>
  <si>
    <t>Phosphorus, %</t>
  </si>
  <si>
    <t>Lysine, %</t>
  </si>
  <si>
    <t>Threonine, %</t>
  </si>
  <si>
    <t>Methionine, %</t>
  </si>
  <si>
    <t>18.5% max</t>
  </si>
  <si>
    <t>Vitamin premix with phytase</t>
  </si>
  <si>
    <t>Trace mineral premix</t>
  </si>
  <si>
    <t>DDGS base</t>
  </si>
  <si>
    <t>60% normal</t>
  </si>
  <si>
    <t>10% DDGS inclusion rate</t>
  </si>
  <si>
    <t>20% DDGS inclusion rate</t>
  </si>
  <si>
    <t>Use:</t>
  </si>
  <si>
    <t>10% DDGS</t>
  </si>
  <si>
    <t xml:space="preserve"> - Use 60% of normal rate of GF Base and replace with exact same pounds of DDGS base</t>
  </si>
  <si>
    <t xml:space="preserve">  - Ex. 45 lb would be replaced with 27 lb of normal and 18 lb of DDGS base</t>
  </si>
  <si>
    <t>20% DDGS</t>
  </si>
  <si>
    <t xml:space="preserve"> - Use 20% of normal rate of GF Base and replace with exact same pounds of DDGS base</t>
  </si>
  <si>
    <t xml:space="preserve">  - Ex. 45 lb would be replaced with 9 lb of normal and 36 lb of DDGS base</t>
  </si>
  <si>
    <t>High phytase</t>
  </si>
  <si>
    <t>Phytase 600</t>
  </si>
  <si>
    <t>Phytase</t>
  </si>
  <si>
    <t>Phytase, FTU</t>
  </si>
  <si>
    <t>DDGS</t>
  </si>
  <si>
    <t>High syn</t>
  </si>
  <si>
    <t>Cost</t>
  </si>
  <si>
    <t>Ingredient cost, $/lb</t>
  </si>
  <si>
    <t>No phytase</t>
  </si>
  <si>
    <t>Vitamin premix with phytase (except in product 7 and 8)</t>
  </si>
  <si>
    <t>Phytase 2000 FTU product</t>
  </si>
  <si>
    <t>Sow VTM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</si>
</sst>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"/>
    <numFmt numFmtId="165" formatCode="0.0"/>
    <numFmt numFmtId="166" formatCode="_(* #,##0_);_(* \(#,##0\);_(* &quot;-&quot;??_);_(@_)"/>
    <numFmt numFmtId="167" formatCode="0.0%"/>
    <numFmt numFmtId="168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0" xfId="0" applyBorder="1"/>
    <xf numFmtId="0" fontId="0" fillId="0" borderId="2" xfId="0" applyBorder="1"/>
    <xf numFmtId="1" fontId="0" fillId="0" borderId="0" xfId="0" applyNumberFormat="1" applyBorder="1"/>
    <xf numFmtId="0" fontId="0" fillId="0" borderId="3" xfId="0" applyBorder="1"/>
    <xf numFmtId="2" fontId="0" fillId="0" borderId="0" xfId="0" applyNumberFormat="1" applyBorder="1"/>
    <xf numFmtId="2" fontId="0" fillId="0" borderId="3" xfId="0" applyNumberFormat="1" applyBorder="1"/>
    <xf numFmtId="0" fontId="0" fillId="0" borderId="4" xfId="0" applyBorder="1"/>
    <xf numFmtId="165" fontId="0" fillId="0" borderId="0" xfId="0" applyNumberFormat="1" applyBorder="1"/>
    <xf numFmtId="165" fontId="0" fillId="0" borderId="3" xfId="0" applyNumberFormat="1" applyBorder="1"/>
    <xf numFmtId="165" fontId="0" fillId="0" borderId="5" xfId="0" applyNumberFormat="1" applyBorder="1"/>
    <xf numFmtId="0" fontId="0" fillId="0" borderId="6" xfId="0" applyBorder="1"/>
    <xf numFmtId="0" fontId="0" fillId="0" borderId="7" xfId="0" applyBorder="1"/>
    <xf numFmtId="2" fontId="0" fillId="0" borderId="5" xfId="0" applyNumberFormat="1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1" fillId="0" borderId="7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1" fillId="0" borderId="5" xfId="0" applyNumberFormat="1" applyFont="1" applyBorder="1"/>
    <xf numFmtId="0" fontId="1" fillId="0" borderId="5" xfId="0" applyFont="1" applyBorder="1"/>
    <xf numFmtId="0" fontId="1" fillId="0" borderId="0" xfId="0" applyFont="1" applyBorder="1"/>
    <xf numFmtId="165" fontId="1" fillId="0" borderId="1" xfId="0" applyNumberFormat="1" applyFont="1" applyBorder="1"/>
    <xf numFmtId="0" fontId="0" fillId="0" borderId="4" xfId="0" applyBorder="1" applyAlignment="1">
      <alignment horizontal="left"/>
    </xf>
    <xf numFmtId="2" fontId="0" fillId="0" borderId="2" xfId="0" applyNumberFormat="1" applyBorder="1"/>
    <xf numFmtId="2" fontId="0" fillId="0" borderId="11" xfId="0" applyNumberFormat="1" applyBorder="1"/>
    <xf numFmtId="0" fontId="1" fillId="0" borderId="0" xfId="0" quotePrefix="1" applyFont="1" applyAlignment="1">
      <alignment horizontal="left"/>
    </xf>
    <xf numFmtId="2" fontId="0" fillId="0" borderId="6" xfId="0" applyNumberFormat="1" applyBorder="1"/>
    <xf numFmtId="2" fontId="0" fillId="0" borderId="7" xfId="0" applyNumberForma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2" fontId="1" fillId="0" borderId="8" xfId="0" applyNumberFormat="1" applyFont="1" applyBorder="1"/>
    <xf numFmtId="2" fontId="1" fillId="0" borderId="10" xfId="0" applyNumberFormat="1" applyFont="1" applyBorder="1"/>
    <xf numFmtId="165" fontId="0" fillId="0" borderId="11" xfId="0" applyNumberFormat="1" applyBorder="1"/>
    <xf numFmtId="0" fontId="1" fillId="0" borderId="0" xfId="0" quotePrefix="1" applyFont="1" applyAlignment="1">
      <alignment horizontal="centerContinuous" wrapText="1"/>
    </xf>
    <xf numFmtId="0" fontId="0" fillId="0" borderId="0" xfId="0" applyAlignment="1">
      <alignment horizontal="centerContinuous" wrapText="1"/>
    </xf>
    <xf numFmtId="1" fontId="0" fillId="0" borderId="2" xfId="0" applyNumberFormat="1" applyBorder="1"/>
    <xf numFmtId="1" fontId="0" fillId="0" borderId="1" xfId="0" applyNumberFormat="1" applyBorder="1"/>
    <xf numFmtId="1" fontId="0" fillId="0" borderId="0" xfId="0" applyNumberFormat="1"/>
    <xf numFmtId="1" fontId="0" fillId="0" borderId="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1" fillId="0" borderId="9" xfId="0" applyNumberFormat="1" applyFont="1" applyBorder="1"/>
    <xf numFmtId="0" fontId="0" fillId="0" borderId="8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5" xfId="0" applyBorder="1"/>
    <xf numFmtId="0" fontId="0" fillId="0" borderId="0" xfId="0" applyFill="1" applyBorder="1" applyAlignment="1">
      <alignment horizontal="center"/>
    </xf>
    <xf numFmtId="167" fontId="2" fillId="0" borderId="0" xfId="2" applyNumberFormat="1" applyFill="1" applyBorder="1"/>
    <xf numFmtId="167" fontId="0" fillId="0" borderId="0" xfId="2" applyNumberFormat="1" applyFont="1"/>
    <xf numFmtId="2" fontId="1" fillId="0" borderId="0" xfId="0" applyNumberFormat="1" applyFont="1" applyBorder="1"/>
    <xf numFmtId="165" fontId="1" fillId="0" borderId="0" xfId="0" applyNumberFormat="1" applyFont="1" applyBorder="1"/>
    <xf numFmtId="167" fontId="2" fillId="0" borderId="0" xfId="2" applyNumberFormat="1"/>
    <xf numFmtId="2" fontId="0" fillId="0" borderId="0" xfId="0" applyNumberFormat="1"/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9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2" fontId="0" fillId="0" borderId="16" xfId="0" applyNumberFormat="1" applyBorder="1"/>
    <xf numFmtId="2" fontId="0" fillId="0" borderId="17" xfId="0" applyNumberFormat="1" applyBorder="1"/>
    <xf numFmtId="2" fontId="1" fillId="0" borderId="14" xfId="0" applyNumberFormat="1" applyFont="1" applyBorder="1"/>
    <xf numFmtId="0" fontId="1" fillId="0" borderId="17" xfId="0" applyFont="1" applyBorder="1"/>
    <xf numFmtId="166" fontId="1" fillId="0" borderId="0" xfId="1" applyNumberFormat="1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5" fillId="0" borderId="0" xfId="0" applyFont="1" applyBorder="1"/>
    <xf numFmtId="168" fontId="0" fillId="0" borderId="0" xfId="0" applyNumberFormat="1"/>
    <xf numFmtId="168" fontId="2" fillId="0" borderId="0" xfId="2" applyNumberFormat="1"/>
    <xf numFmtId="164" fontId="1" fillId="0" borderId="0" xfId="0" applyNumberFormat="1" applyFont="1" applyBorder="1"/>
    <xf numFmtId="0" fontId="2" fillId="0" borderId="6" xfId="0" applyFont="1" applyBorder="1"/>
    <xf numFmtId="3" fontId="2" fillId="0" borderId="0" xfId="0" applyNumberFormat="1" applyFont="1"/>
    <xf numFmtId="1" fontId="1" fillId="0" borderId="0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workbookViewId="0">
      <selection activeCell="F41" sqref="F41"/>
    </sheetView>
  </sheetViews>
  <sheetFormatPr defaultRowHeight="12.75" x14ac:dyDescent="0.2"/>
  <cols>
    <col min="1" max="1" width="30.28515625" customWidth="1"/>
    <col min="2" max="2" width="5.28515625" hidden="1" customWidth="1"/>
    <col min="3" max="4" width="7.5703125" customWidth="1"/>
    <col min="5" max="7" width="9" bestFit="1" customWidth="1"/>
    <col min="20" max="20" width="10.85546875" bestFit="1" customWidth="1"/>
  </cols>
  <sheetData>
    <row r="1" spans="1:21" ht="25.5" customHeight="1" x14ac:dyDescent="0.2">
      <c r="A1" s="43" t="s">
        <v>20</v>
      </c>
      <c r="B1" s="44"/>
      <c r="C1" s="44"/>
      <c r="D1" s="44"/>
      <c r="E1" s="44"/>
      <c r="F1" s="44"/>
      <c r="G1" s="44"/>
    </row>
    <row r="2" spans="1:21" x14ac:dyDescent="0.2">
      <c r="A2" s="35" t="s">
        <v>19</v>
      </c>
      <c r="C2" s="36">
        <v>1</v>
      </c>
      <c r="D2">
        <v>2</v>
      </c>
      <c r="G2" s="36">
        <v>3</v>
      </c>
    </row>
    <row r="3" spans="1:21" x14ac:dyDescent="0.2">
      <c r="A3" s="32"/>
      <c r="D3" s="51" t="s">
        <v>23</v>
      </c>
      <c r="E3" s="52"/>
      <c r="F3" s="52"/>
    </row>
    <row r="4" spans="1:21" x14ac:dyDescent="0.2">
      <c r="A4" s="16" t="s">
        <v>0</v>
      </c>
      <c r="B4" s="17"/>
      <c r="C4" s="18" t="s">
        <v>1</v>
      </c>
      <c r="D4" s="38" t="s">
        <v>26</v>
      </c>
      <c r="E4" s="49" t="s">
        <v>2</v>
      </c>
      <c r="F4" s="39" t="s">
        <v>3</v>
      </c>
      <c r="G4" s="19" t="s">
        <v>4</v>
      </c>
      <c r="R4" t="s">
        <v>29</v>
      </c>
      <c r="S4" s="54" t="s">
        <v>30</v>
      </c>
      <c r="T4" t="s">
        <v>31</v>
      </c>
      <c r="U4" t="s">
        <v>32</v>
      </c>
    </row>
    <row r="5" spans="1:21" x14ac:dyDescent="0.2">
      <c r="A5" s="13" t="s">
        <v>40</v>
      </c>
      <c r="B5" s="3"/>
      <c r="C5" s="3">
        <v>5</v>
      </c>
      <c r="D5" s="13">
        <v>3</v>
      </c>
      <c r="E5" s="3">
        <f>D5*45/50</f>
        <v>2.7</v>
      </c>
      <c r="F5" s="6">
        <f t="shared" ref="F5:F11" si="0">D5*0.7</f>
        <v>2.0999999999999996</v>
      </c>
      <c r="G5" s="6">
        <v>5</v>
      </c>
      <c r="R5" s="55">
        <f>3/5*0.38</f>
        <v>0.22799999999999998</v>
      </c>
      <c r="S5" s="55">
        <v>0</v>
      </c>
    </row>
    <row r="6" spans="1:21" x14ac:dyDescent="0.2">
      <c r="A6" s="13" t="s">
        <v>41</v>
      </c>
      <c r="B6" s="3"/>
      <c r="C6" s="3">
        <v>3</v>
      </c>
      <c r="D6" s="13">
        <v>3</v>
      </c>
      <c r="E6" s="3">
        <f t="shared" ref="E6:E14" si="1">D6*45/50</f>
        <v>2.7</v>
      </c>
      <c r="F6" s="6">
        <f t="shared" si="0"/>
        <v>2.0999999999999996</v>
      </c>
      <c r="G6" s="6">
        <v>3</v>
      </c>
      <c r="R6" s="55">
        <f>1.4/3*0.38</f>
        <v>0.17733333333333332</v>
      </c>
      <c r="S6" s="55">
        <v>0</v>
      </c>
    </row>
    <row r="7" spans="1:21" x14ac:dyDescent="0.2">
      <c r="A7" s="13" t="s">
        <v>5</v>
      </c>
      <c r="B7" s="3"/>
      <c r="C7" s="3">
        <v>0</v>
      </c>
      <c r="D7" s="13">
        <v>0</v>
      </c>
      <c r="E7" s="3">
        <f t="shared" si="1"/>
        <v>0</v>
      </c>
      <c r="F7" s="6">
        <f t="shared" si="0"/>
        <v>0</v>
      </c>
      <c r="G7" s="6">
        <v>5</v>
      </c>
      <c r="R7" s="55">
        <f>2/5*0.38</f>
        <v>0.15200000000000002</v>
      </c>
      <c r="S7" s="55">
        <v>0</v>
      </c>
    </row>
    <row r="8" spans="1:21" x14ac:dyDescent="0.2">
      <c r="A8" s="13" t="s">
        <v>24</v>
      </c>
      <c r="B8" s="3"/>
      <c r="C8" s="10">
        <v>2.8</v>
      </c>
      <c r="D8" s="13">
        <v>0</v>
      </c>
      <c r="E8" s="3">
        <f t="shared" si="1"/>
        <v>0</v>
      </c>
      <c r="F8" s="6">
        <f t="shared" si="0"/>
        <v>0</v>
      </c>
      <c r="G8" s="6">
        <v>0</v>
      </c>
    </row>
    <row r="9" spans="1:21" x14ac:dyDescent="0.2">
      <c r="A9" s="13" t="s">
        <v>6</v>
      </c>
      <c r="B9" s="3"/>
      <c r="C9" s="37">
        <v>6</v>
      </c>
      <c r="D9" s="13">
        <v>3.3330000000000002</v>
      </c>
      <c r="E9" s="10">
        <f t="shared" si="1"/>
        <v>2.9997000000000003</v>
      </c>
      <c r="F9" s="6">
        <f t="shared" si="0"/>
        <v>2.3331</v>
      </c>
      <c r="G9" s="6">
        <v>0</v>
      </c>
      <c r="U9" s="56">
        <v>0.78600000000000003</v>
      </c>
    </row>
    <row r="10" spans="1:21" x14ac:dyDescent="0.2">
      <c r="A10" s="20" t="s">
        <v>7</v>
      </c>
      <c r="B10" s="3"/>
      <c r="C10" s="3">
        <v>3.45</v>
      </c>
      <c r="D10" s="13">
        <v>0</v>
      </c>
      <c r="E10" s="3">
        <f t="shared" si="1"/>
        <v>0</v>
      </c>
      <c r="F10" s="6">
        <f t="shared" si="0"/>
        <v>0</v>
      </c>
      <c r="G10" s="6">
        <v>0</v>
      </c>
    </row>
    <row r="11" spans="1:21" x14ac:dyDescent="0.2">
      <c r="A11" s="13" t="s">
        <v>8</v>
      </c>
      <c r="B11" s="3"/>
      <c r="C11" s="3">
        <v>7</v>
      </c>
      <c r="D11" s="13">
        <v>8.5</v>
      </c>
      <c r="E11" s="3">
        <f t="shared" si="1"/>
        <v>7.65</v>
      </c>
      <c r="F11" s="6">
        <f t="shared" si="0"/>
        <v>5.9499999999999993</v>
      </c>
      <c r="G11" s="6">
        <v>10</v>
      </c>
    </row>
    <row r="12" spans="1:21" hidden="1" x14ac:dyDescent="0.2">
      <c r="A12" s="13" t="s">
        <v>25</v>
      </c>
      <c r="B12" s="3"/>
      <c r="C12" s="37"/>
      <c r="D12" s="13"/>
      <c r="E12" s="3"/>
      <c r="F12" s="6"/>
      <c r="G12" s="6"/>
    </row>
    <row r="13" spans="1:21" x14ac:dyDescent="0.2">
      <c r="A13" s="20" t="s">
        <v>9</v>
      </c>
      <c r="B13" s="3"/>
      <c r="C13" s="7">
        <f>0.0662*65/0.21</f>
        <v>20.490476190476191</v>
      </c>
      <c r="D13" s="33">
        <v>11.5</v>
      </c>
      <c r="E13" s="3">
        <f t="shared" si="1"/>
        <v>10.35</v>
      </c>
      <c r="F13" s="6">
        <f>D13*0.7</f>
        <v>8.0499999999999989</v>
      </c>
      <c r="G13" s="8">
        <v>33</v>
      </c>
      <c r="R13" s="56">
        <v>0.185</v>
      </c>
      <c r="S13" s="56">
        <v>0.16</v>
      </c>
      <c r="T13" s="56">
        <v>0.21</v>
      </c>
    </row>
    <row r="14" spans="1:21" x14ac:dyDescent="0.2">
      <c r="A14" s="14" t="s">
        <v>10</v>
      </c>
      <c r="B14" s="1"/>
      <c r="C14" s="2">
        <f>((0.158*65)-C13*0.185)/0.38</f>
        <v>17.050689223057642</v>
      </c>
      <c r="D14" s="34">
        <v>20</v>
      </c>
      <c r="E14" s="1">
        <f t="shared" si="1"/>
        <v>18</v>
      </c>
      <c r="F14" s="53">
        <f>D14*0.7</f>
        <v>14</v>
      </c>
      <c r="G14" s="15">
        <v>19</v>
      </c>
      <c r="R14" s="56">
        <v>0.38</v>
      </c>
      <c r="S14" s="56">
        <v>0.35</v>
      </c>
    </row>
    <row r="15" spans="1:21" x14ac:dyDescent="0.2">
      <c r="A15" s="22" t="s">
        <v>11</v>
      </c>
      <c r="B15" s="23"/>
      <c r="C15" s="24">
        <f>SUM(C5:C14)</f>
        <v>64.791165413533832</v>
      </c>
      <c r="D15" s="40">
        <f>SUM(D5:D14)</f>
        <v>49.332999999999998</v>
      </c>
      <c r="E15" s="50">
        <f>SUM(E5:E14)</f>
        <v>44.399700000000003</v>
      </c>
      <c r="F15" s="41">
        <f>SUM(F5:F14)</f>
        <v>34.533099999999997</v>
      </c>
      <c r="G15" s="25">
        <f>SUM(G5:G14)</f>
        <v>75</v>
      </c>
    </row>
    <row r="16" spans="1:21" x14ac:dyDescent="0.2">
      <c r="A16" s="13" t="s">
        <v>12</v>
      </c>
      <c r="B16" s="3"/>
      <c r="C16" s="7">
        <f>C17-C15</f>
        <v>0.20883458646616759</v>
      </c>
      <c r="D16" s="33">
        <f>D17-D15</f>
        <v>0.66700000000000159</v>
      </c>
      <c r="E16" s="7">
        <f>E17-E15</f>
        <v>0.60029999999999717</v>
      </c>
      <c r="F16" s="8">
        <f>F17-F15</f>
        <v>0.46690000000000254</v>
      </c>
      <c r="G16" s="8">
        <f>G17-G15</f>
        <v>0</v>
      </c>
    </row>
    <row r="17" spans="1:8" x14ac:dyDescent="0.2">
      <c r="A17" s="22" t="s">
        <v>13</v>
      </c>
      <c r="B17" s="23"/>
      <c r="C17" s="23">
        <v>65</v>
      </c>
      <c r="D17" s="22">
        <v>50</v>
      </c>
      <c r="E17" s="23">
        <v>45</v>
      </c>
      <c r="F17" s="26">
        <v>35</v>
      </c>
      <c r="G17" s="26">
        <v>75</v>
      </c>
    </row>
    <row r="18" spans="1:8" x14ac:dyDescent="0.2">
      <c r="A18" s="27"/>
      <c r="B18" s="27"/>
      <c r="C18" s="27"/>
      <c r="D18" s="27"/>
      <c r="E18" s="27"/>
      <c r="F18" s="27"/>
      <c r="G18" s="27"/>
    </row>
    <row r="19" spans="1:8" x14ac:dyDescent="0.2">
      <c r="A19" s="27"/>
      <c r="B19" s="27"/>
      <c r="C19" s="27"/>
      <c r="D19" s="27"/>
      <c r="E19" s="27" t="s">
        <v>21</v>
      </c>
      <c r="F19" s="27" t="s">
        <v>21</v>
      </c>
      <c r="G19" s="27" t="s">
        <v>22</v>
      </c>
    </row>
    <row r="20" spans="1:8" ht="27.75" customHeight="1" x14ac:dyDescent="0.2">
      <c r="A20" s="43" t="s">
        <v>14</v>
      </c>
      <c r="B20" s="44"/>
      <c r="C20" s="44"/>
      <c r="D20" s="44"/>
      <c r="E20" s="44"/>
      <c r="F20" s="44"/>
      <c r="G20" s="44"/>
    </row>
    <row r="21" spans="1:8" x14ac:dyDescent="0.2">
      <c r="A21" s="29" t="s">
        <v>15</v>
      </c>
      <c r="B21" s="4"/>
      <c r="C21" s="30">
        <f>C29/100*C25/0.185</f>
        <v>23.25945945945946</v>
      </c>
      <c r="D21" s="30">
        <f>D29*D25/0.185/100</f>
        <v>13.054054054054054</v>
      </c>
      <c r="E21" s="4">
        <f>D21*45/50</f>
        <v>11.748648648648647</v>
      </c>
      <c r="F21" s="30">
        <f>D21*0.7</f>
        <v>9.1378378378378375</v>
      </c>
      <c r="G21" s="31">
        <f>0.099*70/0.185</f>
        <v>37.45945945945946</v>
      </c>
    </row>
    <row r="22" spans="1:8" x14ac:dyDescent="0.2">
      <c r="A22" s="21" t="s">
        <v>16</v>
      </c>
      <c r="B22" s="1"/>
      <c r="C22" s="2">
        <f>((0.16*C17)-C21*0.21)/0.38</f>
        <v>14.514509246088194</v>
      </c>
      <c r="D22" s="2">
        <f>((0.194*D17)-D21*0.21)/0.38</f>
        <v>18.3122332859175</v>
      </c>
      <c r="E22" s="1">
        <f>D22*45/50</f>
        <v>16.48100995732575</v>
      </c>
      <c r="F22" s="2">
        <f>D22*0.7</f>
        <v>12.81856330014225</v>
      </c>
      <c r="G22" s="15">
        <f>((0.18*G17)-G21*0.21)/0.38</f>
        <v>14.825035561877669</v>
      </c>
    </row>
    <row r="23" spans="1:8" x14ac:dyDescent="0.2">
      <c r="A23" s="22" t="s">
        <v>11</v>
      </c>
      <c r="B23" s="23"/>
      <c r="C23" s="28">
        <f>SUM(C5:C12)+C21+C22</f>
        <v>65.023968705547659</v>
      </c>
      <c r="D23" s="28">
        <f>SUM(D5:D12)+D21+D22</f>
        <v>49.199287339971555</v>
      </c>
      <c r="E23" s="28">
        <f>SUM(E5:E12)+E21+E22</f>
        <v>44.279358605974394</v>
      </c>
      <c r="F23" s="28">
        <f>SUM(F5:F12)+F21+F22</f>
        <v>34.439501137980088</v>
      </c>
      <c r="G23" s="28">
        <f>SUM(G5:G12)+G21+G22</f>
        <v>75.284495021337136</v>
      </c>
    </row>
    <row r="24" spans="1:8" x14ac:dyDescent="0.2">
      <c r="A24" s="13" t="s">
        <v>12</v>
      </c>
      <c r="B24" s="3"/>
      <c r="C24" s="7">
        <f>C25-C23</f>
        <v>-2.3968705547659397E-2</v>
      </c>
      <c r="D24" s="7">
        <f>D25-D23</f>
        <v>0.8007126600284451</v>
      </c>
      <c r="E24" s="7">
        <f>E25-E23</f>
        <v>0.72064139402560556</v>
      </c>
      <c r="F24" s="7">
        <f>F25-F23</f>
        <v>0.56049886201991228</v>
      </c>
      <c r="G24" s="8">
        <f>G25-G23</f>
        <v>-0.28449502133713622</v>
      </c>
    </row>
    <row r="25" spans="1:8" x14ac:dyDescent="0.2">
      <c r="A25" s="22" t="s">
        <v>13</v>
      </c>
      <c r="B25" s="23"/>
      <c r="C25" s="23">
        <v>65</v>
      </c>
      <c r="D25" s="23">
        <v>50</v>
      </c>
      <c r="E25" s="23">
        <v>45</v>
      </c>
      <c r="F25" s="23">
        <v>35</v>
      </c>
      <c r="G25" s="26">
        <v>75</v>
      </c>
    </row>
    <row r="26" spans="1:8" x14ac:dyDescent="0.2">
      <c r="A26" s="27"/>
      <c r="B26" s="27"/>
      <c r="C26" s="27"/>
      <c r="D26" s="27"/>
      <c r="E26" s="27"/>
      <c r="F26" s="27"/>
      <c r="G26" s="27"/>
    </row>
    <row r="27" spans="1:8" x14ac:dyDescent="0.2">
      <c r="A27" s="27" t="s">
        <v>33</v>
      </c>
      <c r="B27" s="27"/>
      <c r="C27" s="57">
        <f>(SUMPRODUCT(C5:C14,$R$5:$R$14))/C17*100</f>
        <v>18.37230769230769</v>
      </c>
      <c r="D27" s="57">
        <f>(SUMPRODUCT(D5:D14,$R$5:$R$14))/D17*100</f>
        <v>21.887</v>
      </c>
      <c r="E27" s="57">
        <f>(SUMPRODUCT(E5:E14,$R$5:$R$14))/E17*100</f>
        <v>21.887</v>
      </c>
      <c r="F27" s="57">
        <f>(SUMPRODUCT(F5:F14,$R$5:$R$14))/F17*100</f>
        <v>21.887</v>
      </c>
      <c r="G27" s="57">
        <f>(SUMPRODUCT(G5:G14,$R$5:$R$14))/G17*100</f>
        <v>21.009333333333331</v>
      </c>
      <c r="H27" s="57"/>
    </row>
    <row r="28" spans="1:8" x14ac:dyDescent="0.2">
      <c r="A28" s="27" t="s">
        <v>34</v>
      </c>
      <c r="B28" s="27"/>
      <c r="C28" s="57">
        <f>(SUMPRODUCT(C5:C14,$S$5:$S$14))/C17*100</f>
        <v>14.224949874686715</v>
      </c>
      <c r="D28" s="57">
        <f>(SUMPRODUCT(D5:D14,$S$5:$S$14))/D17*100</f>
        <v>17.68</v>
      </c>
      <c r="E28" s="57">
        <f>(SUMPRODUCT(E5:E14,$S$5:$S$14))/E17*100</f>
        <v>17.68</v>
      </c>
      <c r="F28" s="57">
        <f>(SUMPRODUCT(F5:F14,$S$5:$S$14))/F17*100</f>
        <v>17.679999999999996</v>
      </c>
      <c r="G28" s="57">
        <f>(SUMPRODUCT(G5:G14,$S$5:$S$14))/G17*100</f>
        <v>15.906666666666666</v>
      </c>
      <c r="H28" s="57"/>
    </row>
    <row r="29" spans="1:8" x14ac:dyDescent="0.2">
      <c r="A29" s="27" t="s">
        <v>35</v>
      </c>
      <c r="B29" s="27"/>
      <c r="C29" s="58">
        <f>(SUMPRODUCT(C5:C14,$T$5:$T$14))/C17*100</f>
        <v>6.6199999999999992</v>
      </c>
      <c r="D29" s="58">
        <f>(SUMPRODUCT(D5:D14,$T$5:$T$14))/D17*100</f>
        <v>4.83</v>
      </c>
      <c r="E29" s="58">
        <f>(SUMPRODUCT(E5:E14,$T$5:$T$14))/E17*100</f>
        <v>4.8299999999999992</v>
      </c>
      <c r="F29" s="58">
        <f>(SUMPRODUCT(F5:F14,$T$5:$T$14))/F17*100</f>
        <v>4.8299999999999992</v>
      </c>
      <c r="G29" s="58">
        <f>(SUMPRODUCT(G5:G14,$T$5:$T$14))/G17*100</f>
        <v>9.24</v>
      </c>
      <c r="H29" s="58"/>
    </row>
    <row r="30" spans="1:8" x14ac:dyDescent="0.2">
      <c r="A30" s="27" t="s">
        <v>36</v>
      </c>
      <c r="B30" s="27"/>
      <c r="C30" s="57">
        <f>(SUMPRODUCT(C5:C14,$U$5:$U$14))/C17*100</f>
        <v>7.2553846153846164</v>
      </c>
      <c r="D30" s="57">
        <f>(SUMPRODUCT(D5:D14,$U$5:$U$14))/D17*100</f>
        <v>5.2394760000000007</v>
      </c>
      <c r="E30" s="57">
        <f>(SUMPRODUCT(E5:E14,$U$5:$U$14))/E17*100</f>
        <v>5.2394759999999998</v>
      </c>
      <c r="F30" s="57">
        <f>(SUMPRODUCT(F5:F14,$U$5:$U$14))/F17*100</f>
        <v>5.2394759999999998</v>
      </c>
      <c r="G30" s="57">
        <f>(SUMPRODUCT(G5:G14,$U$5:$U$14))/G17*100</f>
        <v>0</v>
      </c>
      <c r="H30" s="27"/>
    </row>
    <row r="31" spans="1:8" x14ac:dyDescent="0.2">
      <c r="A31" s="27" t="s">
        <v>37</v>
      </c>
      <c r="B31" s="27"/>
      <c r="C31" s="57">
        <f>C8*0.99/C17*100</f>
        <v>4.264615384615384</v>
      </c>
      <c r="D31" s="27"/>
      <c r="E31" s="27"/>
      <c r="F31" s="27"/>
      <c r="G31" s="27"/>
      <c r="H31" s="27"/>
    </row>
    <row r="32" spans="1:8" x14ac:dyDescent="0.2">
      <c r="A32" s="27" t="s">
        <v>38</v>
      </c>
      <c r="B32" s="27"/>
      <c r="C32" s="57">
        <f>C10*0.981/C17*100</f>
        <v>5.2068461538461541</v>
      </c>
      <c r="D32" s="27"/>
      <c r="E32" s="27"/>
      <c r="F32" s="27"/>
      <c r="G32" s="27"/>
      <c r="H32" s="27"/>
    </row>
    <row r="33" spans="1:7" x14ac:dyDescent="0.2">
      <c r="A33" s="27"/>
      <c r="B33" s="27"/>
      <c r="C33" s="27"/>
      <c r="D33" s="27"/>
      <c r="E33" s="27"/>
      <c r="F33" s="27"/>
      <c r="G33" s="27"/>
    </row>
    <row r="34" spans="1:7" x14ac:dyDescent="0.2">
      <c r="A34" s="27"/>
      <c r="B34" s="27"/>
      <c r="C34" s="27"/>
      <c r="D34" s="27"/>
      <c r="E34" s="27"/>
      <c r="F34" s="27"/>
      <c r="G34" s="27"/>
    </row>
    <row r="35" spans="1:7" x14ac:dyDescent="0.2">
      <c r="A35" s="27"/>
      <c r="B35" s="27"/>
      <c r="C35" s="27"/>
      <c r="D35" s="27"/>
      <c r="E35" s="27"/>
      <c r="F35" s="27"/>
      <c r="G35" s="27"/>
    </row>
    <row r="36" spans="1:7" x14ac:dyDescent="0.2">
      <c r="A36" s="32" t="s">
        <v>17</v>
      </c>
    </row>
    <row r="37" spans="1:7" x14ac:dyDescent="0.2">
      <c r="A37" s="16" t="s">
        <v>0</v>
      </c>
      <c r="B37" s="17"/>
      <c r="C37" s="18" t="s">
        <v>1</v>
      </c>
      <c r="D37" s="18" t="s">
        <v>2</v>
      </c>
      <c r="E37" s="18" t="s">
        <v>3</v>
      </c>
      <c r="F37" s="18" t="s">
        <v>3</v>
      </c>
      <c r="G37" s="19" t="s">
        <v>4</v>
      </c>
    </row>
    <row r="38" spans="1:7" x14ac:dyDescent="0.2">
      <c r="A38" s="9" t="str">
        <f t="shared" ref="A38:A47" si="2">A5</f>
        <v>Vitamin premix with phytase</v>
      </c>
      <c r="B38" s="4"/>
      <c r="C38" s="45">
        <f t="shared" ref="C38:G47" si="3">C5/C$17*2000</f>
        <v>153.84615384615387</v>
      </c>
      <c r="D38" s="45">
        <f t="shared" si="3"/>
        <v>120</v>
      </c>
      <c r="E38" s="45">
        <f t="shared" ref="E38:E47" si="4">E5/E$17*2000</f>
        <v>120.00000000000001</v>
      </c>
      <c r="F38" s="45">
        <f t="shared" si="3"/>
        <v>119.99999999999999</v>
      </c>
      <c r="G38" s="42">
        <f t="shared" si="3"/>
        <v>133.33333333333334</v>
      </c>
    </row>
    <row r="39" spans="1:7" x14ac:dyDescent="0.2">
      <c r="A39" s="13" t="str">
        <f t="shared" si="2"/>
        <v>Trace mineral premix</v>
      </c>
      <c r="B39" s="3"/>
      <c r="C39" s="5">
        <f t="shared" si="3"/>
        <v>92.307692307692307</v>
      </c>
      <c r="D39" s="5">
        <f t="shared" si="3"/>
        <v>120</v>
      </c>
      <c r="E39" s="5">
        <f t="shared" si="4"/>
        <v>120.00000000000001</v>
      </c>
      <c r="F39" s="5">
        <f t="shared" si="3"/>
        <v>119.99999999999999</v>
      </c>
      <c r="G39" s="11">
        <f t="shared" si="3"/>
        <v>80</v>
      </c>
    </row>
    <row r="40" spans="1:7" x14ac:dyDescent="0.2">
      <c r="A40" s="13" t="str">
        <f t="shared" si="2"/>
        <v>Sow add pack</v>
      </c>
      <c r="B40" s="3"/>
      <c r="C40" s="5">
        <f t="shared" si="3"/>
        <v>0</v>
      </c>
      <c r="D40" s="5">
        <f t="shared" si="3"/>
        <v>0</v>
      </c>
      <c r="E40" s="5">
        <f t="shared" si="4"/>
        <v>0</v>
      </c>
      <c r="F40" s="5">
        <f t="shared" si="3"/>
        <v>0</v>
      </c>
      <c r="G40" s="11">
        <f t="shared" si="3"/>
        <v>133.33333333333334</v>
      </c>
    </row>
    <row r="41" spans="1:7" x14ac:dyDescent="0.2">
      <c r="A41" s="13" t="str">
        <f t="shared" si="2"/>
        <v>L-threonine</v>
      </c>
      <c r="B41" s="3"/>
      <c r="C41" s="5">
        <f t="shared" si="3"/>
        <v>86.153846153846146</v>
      </c>
      <c r="D41" s="5">
        <f t="shared" si="3"/>
        <v>0</v>
      </c>
      <c r="E41" s="5">
        <f t="shared" si="4"/>
        <v>0</v>
      </c>
      <c r="F41" s="5">
        <f t="shared" si="3"/>
        <v>0</v>
      </c>
      <c r="G41" s="11">
        <f t="shared" si="3"/>
        <v>0</v>
      </c>
    </row>
    <row r="42" spans="1:7" x14ac:dyDescent="0.2">
      <c r="A42" s="13" t="str">
        <f t="shared" si="2"/>
        <v>L-lysine HCl</v>
      </c>
      <c r="B42" s="3"/>
      <c r="C42" s="5">
        <f t="shared" si="3"/>
        <v>184.61538461538461</v>
      </c>
      <c r="D42" s="5">
        <f t="shared" si="3"/>
        <v>133.32</v>
      </c>
      <c r="E42" s="5">
        <f t="shared" si="4"/>
        <v>133.32000000000002</v>
      </c>
      <c r="F42" s="5">
        <f t="shared" si="3"/>
        <v>133.32</v>
      </c>
      <c r="G42" s="11">
        <f t="shared" si="3"/>
        <v>0</v>
      </c>
    </row>
    <row r="43" spans="1:7" x14ac:dyDescent="0.2">
      <c r="A43" s="13" t="str">
        <f t="shared" si="2"/>
        <v>DL-Methionine</v>
      </c>
      <c r="B43" s="3"/>
      <c r="C43" s="5">
        <f t="shared" si="3"/>
        <v>106.15384615384616</v>
      </c>
      <c r="D43" s="5">
        <f t="shared" si="3"/>
        <v>0</v>
      </c>
      <c r="E43" s="5">
        <f t="shared" si="4"/>
        <v>0</v>
      </c>
      <c r="F43" s="5">
        <f t="shared" si="3"/>
        <v>0</v>
      </c>
      <c r="G43" s="11">
        <f t="shared" si="3"/>
        <v>0</v>
      </c>
    </row>
    <row r="44" spans="1:7" x14ac:dyDescent="0.2">
      <c r="A44" s="13" t="str">
        <f t="shared" si="2"/>
        <v>Salt</v>
      </c>
      <c r="B44" s="3"/>
      <c r="C44" s="5">
        <f t="shared" si="3"/>
        <v>215.38461538461539</v>
      </c>
      <c r="D44" s="5">
        <f t="shared" si="3"/>
        <v>340</v>
      </c>
      <c r="E44" s="5">
        <f t="shared" si="4"/>
        <v>340</v>
      </c>
      <c r="F44" s="5">
        <f t="shared" si="3"/>
        <v>339.99999999999994</v>
      </c>
      <c r="G44" s="11">
        <f t="shared" si="3"/>
        <v>266.66666666666669</v>
      </c>
    </row>
    <row r="45" spans="1:7" hidden="1" x14ac:dyDescent="0.2">
      <c r="A45" s="13" t="str">
        <f t="shared" si="2"/>
        <v>Natuphos 600</v>
      </c>
      <c r="B45" s="3"/>
      <c r="C45" s="5">
        <f t="shared" si="3"/>
        <v>0</v>
      </c>
      <c r="D45" s="5">
        <f t="shared" si="3"/>
        <v>0</v>
      </c>
      <c r="E45" s="5">
        <f t="shared" si="4"/>
        <v>0</v>
      </c>
      <c r="F45" s="5">
        <f t="shared" si="3"/>
        <v>0</v>
      </c>
      <c r="G45" s="11">
        <f t="shared" si="3"/>
        <v>0</v>
      </c>
    </row>
    <row r="46" spans="1:7" x14ac:dyDescent="0.2">
      <c r="A46" s="13" t="str">
        <f t="shared" si="2"/>
        <v>Monocalcium phosphate (21% P)</v>
      </c>
      <c r="B46" s="3"/>
      <c r="C46" s="5">
        <f t="shared" si="3"/>
        <v>630.47619047619048</v>
      </c>
      <c r="D46" s="5">
        <f t="shared" si="3"/>
        <v>460</v>
      </c>
      <c r="E46" s="5">
        <f t="shared" si="4"/>
        <v>459.99999999999994</v>
      </c>
      <c r="F46" s="5">
        <f t="shared" si="3"/>
        <v>459.99999999999994</v>
      </c>
      <c r="G46" s="11">
        <f t="shared" si="3"/>
        <v>880</v>
      </c>
    </row>
    <row r="47" spans="1:7" x14ac:dyDescent="0.2">
      <c r="A47" s="13" t="str">
        <f t="shared" si="2"/>
        <v>Calcium carbonate</v>
      </c>
      <c r="B47" s="3"/>
      <c r="C47" s="5">
        <f t="shared" si="3"/>
        <v>524.63659147869669</v>
      </c>
      <c r="D47" s="5">
        <f t="shared" si="3"/>
        <v>800</v>
      </c>
      <c r="E47" s="5">
        <f t="shared" si="4"/>
        <v>800</v>
      </c>
      <c r="F47" s="5">
        <f t="shared" si="3"/>
        <v>800</v>
      </c>
      <c r="G47" s="11">
        <f t="shared" si="3"/>
        <v>506.66666666666669</v>
      </c>
    </row>
    <row r="48" spans="1:7" x14ac:dyDescent="0.2">
      <c r="A48" s="14" t="str">
        <f>A16</f>
        <v>Carrier</v>
      </c>
      <c r="B48" s="1"/>
      <c r="C48" s="46">
        <f>C16/C$17*2000</f>
        <v>6.4256795835743876</v>
      </c>
      <c r="D48" s="46">
        <f>D16/D$17*2000</f>
        <v>26.680000000000064</v>
      </c>
      <c r="E48" s="46">
        <f>E16/E$17*2000</f>
        <v>26.679999999999875</v>
      </c>
      <c r="F48" s="46">
        <f>F16/F$17*2000</f>
        <v>26.680000000000145</v>
      </c>
      <c r="G48" s="12">
        <f>G16/G$17*2000</f>
        <v>0</v>
      </c>
    </row>
    <row r="49" spans="1:7" x14ac:dyDescent="0.2">
      <c r="A49" s="14" t="s">
        <v>13</v>
      </c>
      <c r="B49" s="1"/>
      <c r="C49" s="46">
        <f>SUM(C38:C48)</f>
        <v>2000</v>
      </c>
      <c r="D49" s="46">
        <f>SUM(D38:D48)</f>
        <v>2000</v>
      </c>
      <c r="E49" s="46">
        <f>SUM(E38:E48)</f>
        <v>1999.9999999999998</v>
      </c>
      <c r="F49" s="46">
        <f>SUM(F38:F48)</f>
        <v>2000</v>
      </c>
      <c r="G49" s="15">
        <f>SUM(G38:G48)</f>
        <v>2000.0000000000002</v>
      </c>
    </row>
    <row r="50" spans="1:7" x14ac:dyDescent="0.2">
      <c r="D50" s="47"/>
      <c r="E50" s="47"/>
      <c r="F50" s="47"/>
    </row>
    <row r="51" spans="1:7" x14ac:dyDescent="0.2">
      <c r="D51" s="47"/>
      <c r="E51" s="47"/>
      <c r="F51" s="47"/>
    </row>
    <row r="52" spans="1:7" x14ac:dyDescent="0.2">
      <c r="A52" s="32" t="s">
        <v>18</v>
      </c>
      <c r="D52" s="47"/>
      <c r="E52" s="47"/>
      <c r="F52" s="47"/>
    </row>
    <row r="53" spans="1:7" x14ac:dyDescent="0.2">
      <c r="A53" s="16" t="s">
        <v>0</v>
      </c>
      <c r="B53" s="17"/>
      <c r="C53" s="18" t="s">
        <v>1</v>
      </c>
      <c r="D53" s="48" t="s">
        <v>2</v>
      </c>
      <c r="E53" s="48" t="s">
        <v>3</v>
      </c>
      <c r="F53" s="48" t="s">
        <v>3</v>
      </c>
      <c r="G53" s="19" t="s">
        <v>4</v>
      </c>
    </row>
    <row r="54" spans="1:7" x14ac:dyDescent="0.2">
      <c r="A54" s="9" t="str">
        <f t="shared" ref="A54:A64" si="5">A38</f>
        <v>Vitamin premix with phytase</v>
      </c>
      <c r="B54" s="4"/>
      <c r="C54" s="45">
        <f t="shared" ref="C54:G63" si="6">C5/C$17*6000</f>
        <v>461.53846153846155</v>
      </c>
      <c r="D54" s="45">
        <f t="shared" si="6"/>
        <v>360</v>
      </c>
      <c r="E54" s="45">
        <f t="shared" ref="E54:E63" si="7">E5/E$17*6000</f>
        <v>360</v>
      </c>
      <c r="F54" s="45">
        <f t="shared" si="6"/>
        <v>359.99999999999994</v>
      </c>
      <c r="G54" s="42">
        <f t="shared" si="6"/>
        <v>400</v>
      </c>
    </row>
    <row r="55" spans="1:7" x14ac:dyDescent="0.2">
      <c r="A55" s="13" t="str">
        <f t="shared" si="5"/>
        <v>Trace mineral premix</v>
      </c>
      <c r="B55" s="3"/>
      <c r="C55" s="5">
        <f t="shared" si="6"/>
        <v>276.92307692307696</v>
      </c>
      <c r="D55" s="5">
        <f t="shared" si="6"/>
        <v>360</v>
      </c>
      <c r="E55" s="5">
        <f t="shared" si="7"/>
        <v>360</v>
      </c>
      <c r="F55" s="5">
        <f t="shared" si="6"/>
        <v>359.99999999999994</v>
      </c>
      <c r="G55" s="11">
        <f t="shared" si="6"/>
        <v>240</v>
      </c>
    </row>
    <row r="56" spans="1:7" x14ac:dyDescent="0.2">
      <c r="A56" s="13" t="str">
        <f t="shared" si="5"/>
        <v>Sow add pack</v>
      </c>
      <c r="B56" s="3"/>
      <c r="C56" s="5">
        <f t="shared" si="6"/>
        <v>0</v>
      </c>
      <c r="D56" s="5">
        <f t="shared" si="6"/>
        <v>0</v>
      </c>
      <c r="E56" s="5">
        <f t="shared" si="7"/>
        <v>0</v>
      </c>
      <c r="F56" s="5">
        <f t="shared" si="6"/>
        <v>0</v>
      </c>
      <c r="G56" s="11">
        <f t="shared" si="6"/>
        <v>400</v>
      </c>
    </row>
    <row r="57" spans="1:7" x14ac:dyDescent="0.2">
      <c r="A57" s="13" t="str">
        <f t="shared" si="5"/>
        <v>L-threonine</v>
      </c>
      <c r="B57" s="3"/>
      <c r="C57" s="5">
        <f t="shared" si="6"/>
        <v>258.46153846153845</v>
      </c>
      <c r="D57" s="5">
        <f t="shared" si="6"/>
        <v>0</v>
      </c>
      <c r="E57" s="5">
        <f t="shared" si="7"/>
        <v>0</v>
      </c>
      <c r="F57" s="5">
        <f t="shared" si="6"/>
        <v>0</v>
      </c>
      <c r="G57" s="11">
        <f t="shared" si="6"/>
        <v>0</v>
      </c>
    </row>
    <row r="58" spans="1:7" x14ac:dyDescent="0.2">
      <c r="A58" s="13" t="str">
        <f t="shared" si="5"/>
        <v>L-lysine HCl</v>
      </c>
      <c r="B58" s="3"/>
      <c r="C58" s="5">
        <f t="shared" si="6"/>
        <v>553.84615384615392</v>
      </c>
      <c r="D58" s="5">
        <f t="shared" si="6"/>
        <v>399.96</v>
      </c>
      <c r="E58" s="5">
        <f t="shared" si="7"/>
        <v>399.96000000000009</v>
      </c>
      <c r="F58" s="5">
        <f t="shared" si="6"/>
        <v>399.96</v>
      </c>
      <c r="G58" s="11">
        <f t="shared" si="6"/>
        <v>0</v>
      </c>
    </row>
    <row r="59" spans="1:7" x14ac:dyDescent="0.2">
      <c r="A59" s="13" t="str">
        <f t="shared" si="5"/>
        <v>DL-Methionine</v>
      </c>
      <c r="B59" s="3"/>
      <c r="C59" s="5">
        <f t="shared" si="6"/>
        <v>318.46153846153845</v>
      </c>
      <c r="D59" s="5">
        <f t="shared" si="6"/>
        <v>0</v>
      </c>
      <c r="E59" s="5">
        <f t="shared" si="7"/>
        <v>0</v>
      </c>
      <c r="F59" s="5">
        <f t="shared" si="6"/>
        <v>0</v>
      </c>
      <c r="G59" s="11">
        <f t="shared" si="6"/>
        <v>0</v>
      </c>
    </row>
    <row r="60" spans="1:7" x14ac:dyDescent="0.2">
      <c r="A60" s="13" t="str">
        <f t="shared" si="5"/>
        <v>Salt</v>
      </c>
      <c r="B60" s="3"/>
      <c r="C60" s="5">
        <f t="shared" si="6"/>
        <v>646.15384615384619</v>
      </c>
      <c r="D60" s="5">
        <f t="shared" si="6"/>
        <v>1020.0000000000001</v>
      </c>
      <c r="E60" s="5">
        <f t="shared" si="7"/>
        <v>1020.0000000000001</v>
      </c>
      <c r="F60" s="5">
        <f t="shared" si="6"/>
        <v>1019.9999999999999</v>
      </c>
      <c r="G60" s="11">
        <f t="shared" si="6"/>
        <v>800</v>
      </c>
    </row>
    <row r="61" spans="1:7" hidden="1" x14ac:dyDescent="0.2">
      <c r="A61" s="13" t="str">
        <f t="shared" si="5"/>
        <v>Natuphos 600</v>
      </c>
      <c r="B61" s="3"/>
      <c r="C61" s="5">
        <f t="shared" si="6"/>
        <v>0</v>
      </c>
      <c r="D61" s="5">
        <f t="shared" si="6"/>
        <v>0</v>
      </c>
      <c r="E61" s="5">
        <f t="shared" si="7"/>
        <v>0</v>
      </c>
      <c r="F61" s="5">
        <f t="shared" si="6"/>
        <v>0</v>
      </c>
      <c r="G61" s="11">
        <f t="shared" si="6"/>
        <v>0</v>
      </c>
    </row>
    <row r="62" spans="1:7" x14ac:dyDescent="0.2">
      <c r="A62" s="13" t="str">
        <f t="shared" si="5"/>
        <v>Monocalcium phosphate (21% P)</v>
      </c>
      <c r="B62" s="3"/>
      <c r="C62" s="5">
        <f t="shared" si="6"/>
        <v>1891.4285714285716</v>
      </c>
      <c r="D62" s="5">
        <f t="shared" si="6"/>
        <v>1380</v>
      </c>
      <c r="E62" s="5">
        <f t="shared" si="7"/>
        <v>1380</v>
      </c>
      <c r="F62" s="5">
        <f t="shared" si="6"/>
        <v>1380</v>
      </c>
      <c r="G62" s="11">
        <f t="shared" si="6"/>
        <v>2640</v>
      </c>
    </row>
    <row r="63" spans="1:7" x14ac:dyDescent="0.2">
      <c r="A63" s="13" t="str">
        <f t="shared" si="5"/>
        <v>Calcium carbonate</v>
      </c>
      <c r="B63" s="3"/>
      <c r="C63" s="5">
        <f t="shared" si="6"/>
        <v>1573.9097744360899</v>
      </c>
      <c r="D63" s="5">
        <f t="shared" si="6"/>
        <v>2400</v>
      </c>
      <c r="E63" s="5">
        <f t="shared" si="7"/>
        <v>2400</v>
      </c>
      <c r="F63" s="5">
        <f t="shared" si="6"/>
        <v>2400</v>
      </c>
      <c r="G63" s="11">
        <f t="shared" si="6"/>
        <v>1520.0000000000002</v>
      </c>
    </row>
    <row r="64" spans="1:7" x14ac:dyDescent="0.2">
      <c r="A64" s="14" t="str">
        <f t="shared" si="5"/>
        <v>Carrier</v>
      </c>
      <c r="B64" s="1"/>
      <c r="C64" s="46">
        <f>C16/C$17*6000</f>
        <v>19.277038750723165</v>
      </c>
      <c r="D64" s="46">
        <f>D16/D$17*6000</f>
        <v>80.040000000000191</v>
      </c>
      <c r="E64" s="46">
        <f>E16/E$17*6000</f>
        <v>80.039999999999623</v>
      </c>
      <c r="F64" s="46">
        <f>F16/F$17*6000</f>
        <v>80.040000000000433</v>
      </c>
      <c r="G64" s="12">
        <f>G16/G$17*6000</f>
        <v>0</v>
      </c>
    </row>
    <row r="65" spans="1:7" x14ac:dyDescent="0.2">
      <c r="A65" s="14" t="s">
        <v>13</v>
      </c>
      <c r="B65" s="1"/>
      <c r="C65" s="2">
        <f>SUM(C54:C64)</f>
        <v>6000.0000000000009</v>
      </c>
      <c r="D65" s="46">
        <f>SUM(D54:D64)</f>
        <v>6000</v>
      </c>
      <c r="E65" s="46">
        <f>SUM(E54:E64)</f>
        <v>6000</v>
      </c>
      <c r="F65" s="46">
        <f>SUM(F54:F64)</f>
        <v>6000</v>
      </c>
      <c r="G65" s="15">
        <f>SUM(G54:G64)</f>
        <v>6000</v>
      </c>
    </row>
  </sheetData>
  <phoneticPr fontId="0" type="noConversion"/>
  <pageMargins left="0.75" right="1.27" top="1" bottom="3.87" header="0.5" footer="0.5"/>
  <pageSetup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5"/>
  <sheetViews>
    <sheetView workbookViewId="0">
      <selection activeCell="D14" sqref="D14"/>
    </sheetView>
  </sheetViews>
  <sheetFormatPr defaultRowHeight="12.75" x14ac:dyDescent="0.2"/>
  <cols>
    <col min="1" max="1" width="30.28515625" customWidth="1"/>
    <col min="2" max="2" width="5.28515625" hidden="1" customWidth="1"/>
    <col min="3" max="4" width="7.5703125" customWidth="1"/>
    <col min="5" max="7" width="9" bestFit="1" customWidth="1"/>
    <col min="20" max="20" width="10.85546875" bestFit="1" customWidth="1"/>
  </cols>
  <sheetData>
    <row r="1" spans="1:21" ht="25.5" customHeight="1" x14ac:dyDescent="0.2">
      <c r="A1" s="43" t="s">
        <v>20</v>
      </c>
      <c r="B1" s="44"/>
      <c r="C1" s="44"/>
      <c r="D1" s="44"/>
      <c r="E1" s="44"/>
      <c r="F1" s="44"/>
      <c r="G1" s="44"/>
    </row>
    <row r="2" spans="1:21" x14ac:dyDescent="0.2">
      <c r="A2" s="35" t="s">
        <v>19</v>
      </c>
      <c r="C2" s="36">
        <v>1</v>
      </c>
      <c r="D2">
        <v>2</v>
      </c>
      <c r="G2" s="36">
        <v>3</v>
      </c>
    </row>
    <row r="3" spans="1:21" x14ac:dyDescent="0.2">
      <c r="A3" s="32"/>
      <c r="D3" s="51" t="s">
        <v>23</v>
      </c>
      <c r="E3" s="52"/>
      <c r="F3" s="52"/>
    </row>
    <row r="4" spans="1:21" x14ac:dyDescent="0.2">
      <c r="A4" s="16" t="s">
        <v>0</v>
      </c>
      <c r="B4" s="17"/>
      <c r="C4" s="18" t="s">
        <v>1</v>
      </c>
      <c r="D4" s="38" t="s">
        <v>26</v>
      </c>
      <c r="E4" s="49" t="s">
        <v>2</v>
      </c>
      <c r="F4" s="39" t="s">
        <v>3</v>
      </c>
      <c r="G4" s="19" t="s">
        <v>4</v>
      </c>
      <c r="R4" t="s">
        <v>29</v>
      </c>
      <c r="S4" s="54" t="s">
        <v>30</v>
      </c>
      <c r="T4" t="s">
        <v>31</v>
      </c>
      <c r="U4" t="s">
        <v>32</v>
      </c>
    </row>
    <row r="5" spans="1:21" x14ac:dyDescent="0.2">
      <c r="A5" s="13" t="s">
        <v>27</v>
      </c>
      <c r="B5" s="3"/>
      <c r="C5" s="3">
        <v>2.5</v>
      </c>
      <c r="D5" s="13">
        <v>1.5</v>
      </c>
      <c r="E5" s="3">
        <f t="shared" ref="E5:E11" si="0">D5*45/50</f>
        <v>1.35</v>
      </c>
      <c r="F5" s="6">
        <f t="shared" ref="F5:F11" si="1">D5*0.7</f>
        <v>1.0499999999999998</v>
      </c>
      <c r="G5" s="6">
        <v>2.5</v>
      </c>
      <c r="R5" s="55">
        <f>3/5*0.38</f>
        <v>0.22799999999999998</v>
      </c>
      <c r="S5" s="55">
        <v>0</v>
      </c>
    </row>
    <row r="6" spans="1:21" x14ac:dyDescent="0.2">
      <c r="A6" s="13" t="s">
        <v>28</v>
      </c>
      <c r="B6" s="3"/>
      <c r="C6" s="3">
        <v>2</v>
      </c>
      <c r="D6" s="13">
        <v>2</v>
      </c>
      <c r="E6" s="3">
        <f t="shared" si="0"/>
        <v>1.8</v>
      </c>
      <c r="F6" s="6">
        <f t="shared" si="1"/>
        <v>1.4</v>
      </c>
      <c r="G6" s="6">
        <v>2</v>
      </c>
      <c r="R6" s="55">
        <f>1.4/3*0.38</f>
        <v>0.17733333333333332</v>
      </c>
      <c r="S6" s="55">
        <v>0</v>
      </c>
    </row>
    <row r="7" spans="1:21" x14ac:dyDescent="0.2">
      <c r="A7" s="13" t="s">
        <v>5</v>
      </c>
      <c r="B7" s="3"/>
      <c r="C7" s="3">
        <v>0</v>
      </c>
      <c r="D7" s="13">
        <v>0</v>
      </c>
      <c r="E7" s="3">
        <f t="shared" si="0"/>
        <v>0</v>
      </c>
      <c r="F7" s="6">
        <f t="shared" si="1"/>
        <v>0</v>
      </c>
      <c r="G7" s="6">
        <v>5</v>
      </c>
      <c r="R7" s="55">
        <f>2/5*0.38</f>
        <v>0.15200000000000002</v>
      </c>
      <c r="S7" s="55">
        <v>0</v>
      </c>
    </row>
    <row r="8" spans="1:21" x14ac:dyDescent="0.2">
      <c r="A8" s="13" t="s">
        <v>24</v>
      </c>
      <c r="B8" s="3"/>
      <c r="C8" s="10">
        <v>2.8</v>
      </c>
      <c r="D8" s="13">
        <v>0</v>
      </c>
      <c r="E8" s="3">
        <f t="shared" si="0"/>
        <v>0</v>
      </c>
      <c r="F8" s="6">
        <f t="shared" si="1"/>
        <v>0</v>
      </c>
      <c r="G8" s="6">
        <v>0</v>
      </c>
    </row>
    <row r="9" spans="1:21" x14ac:dyDescent="0.2">
      <c r="A9" s="13" t="s">
        <v>6</v>
      </c>
      <c r="B9" s="3"/>
      <c r="C9" s="37">
        <v>6</v>
      </c>
      <c r="D9" s="13">
        <v>3.3330000000000002</v>
      </c>
      <c r="E9" s="10">
        <f t="shared" si="0"/>
        <v>2.9997000000000003</v>
      </c>
      <c r="F9" s="6">
        <f t="shared" si="1"/>
        <v>2.3331</v>
      </c>
      <c r="G9" s="6">
        <v>0</v>
      </c>
      <c r="U9" s="59">
        <v>0.78600000000000003</v>
      </c>
    </row>
    <row r="10" spans="1:21" x14ac:dyDescent="0.2">
      <c r="A10" s="20" t="s">
        <v>7</v>
      </c>
      <c r="B10" s="3"/>
      <c r="C10" s="3">
        <v>3.45</v>
      </c>
      <c r="D10" s="13">
        <v>0</v>
      </c>
      <c r="E10" s="3">
        <f t="shared" si="0"/>
        <v>0</v>
      </c>
      <c r="F10" s="6">
        <f t="shared" si="1"/>
        <v>0</v>
      </c>
      <c r="G10" s="6">
        <v>0</v>
      </c>
    </row>
    <row r="11" spans="1:21" x14ac:dyDescent="0.2">
      <c r="A11" s="13" t="s">
        <v>8</v>
      </c>
      <c r="B11" s="3"/>
      <c r="C11" s="3">
        <v>7</v>
      </c>
      <c r="D11" s="13">
        <v>8.5</v>
      </c>
      <c r="E11" s="3">
        <f t="shared" si="0"/>
        <v>7.65</v>
      </c>
      <c r="F11" s="6">
        <f t="shared" si="1"/>
        <v>5.9499999999999993</v>
      </c>
      <c r="G11" s="6">
        <v>10</v>
      </c>
    </row>
    <row r="12" spans="1:21" hidden="1" x14ac:dyDescent="0.2">
      <c r="A12" s="13" t="s">
        <v>25</v>
      </c>
      <c r="B12" s="3"/>
      <c r="C12" s="37"/>
      <c r="D12" s="13"/>
      <c r="E12" s="3"/>
      <c r="F12" s="6"/>
      <c r="G12" s="6"/>
    </row>
    <row r="13" spans="1:21" x14ac:dyDescent="0.2">
      <c r="A13" s="20" t="s">
        <v>9</v>
      </c>
      <c r="B13" s="3"/>
      <c r="C13" s="7">
        <f>0.0662*65/0.21</f>
        <v>20.490476190476191</v>
      </c>
      <c r="D13" s="33">
        <v>11.5</v>
      </c>
      <c r="E13" s="3">
        <f>D13*45/50</f>
        <v>10.35</v>
      </c>
      <c r="F13" s="6">
        <f>D13*0.7</f>
        <v>8.0499999999999989</v>
      </c>
      <c r="G13" s="8">
        <v>33</v>
      </c>
      <c r="R13" s="59">
        <v>0.185</v>
      </c>
      <c r="S13" s="59">
        <v>0.16</v>
      </c>
      <c r="T13" s="59">
        <v>0.21</v>
      </c>
    </row>
    <row r="14" spans="1:21" x14ac:dyDescent="0.2">
      <c r="A14" s="14" t="s">
        <v>10</v>
      </c>
      <c r="B14" s="1"/>
      <c r="C14" s="2">
        <v>20</v>
      </c>
      <c r="D14" s="34">
        <v>21</v>
      </c>
      <c r="E14" s="1">
        <f>D14*45/50</f>
        <v>18.899999999999999</v>
      </c>
      <c r="F14" s="53">
        <f>D14*0.7</f>
        <v>14.7</v>
      </c>
      <c r="G14" s="15">
        <v>22.5</v>
      </c>
      <c r="R14" s="59">
        <v>0.38</v>
      </c>
      <c r="S14" s="59">
        <v>0.35</v>
      </c>
    </row>
    <row r="15" spans="1:21" x14ac:dyDescent="0.2">
      <c r="A15" s="22" t="s">
        <v>11</v>
      </c>
      <c r="B15" s="23"/>
      <c r="C15" s="24">
        <f>SUM(C5:C14)</f>
        <v>64.240476190476187</v>
      </c>
      <c r="D15" s="40">
        <f>SUM(D5:D14)</f>
        <v>47.832999999999998</v>
      </c>
      <c r="E15" s="50">
        <f>SUM(E5:E14)</f>
        <v>43.049700000000001</v>
      </c>
      <c r="F15" s="41">
        <f>SUM(F5:F14)</f>
        <v>33.483099999999993</v>
      </c>
      <c r="G15" s="25">
        <f>SUM(G5:G14)</f>
        <v>75</v>
      </c>
    </row>
    <row r="16" spans="1:21" x14ac:dyDescent="0.2">
      <c r="A16" s="13" t="s">
        <v>12</v>
      </c>
      <c r="B16" s="3"/>
      <c r="C16" s="7">
        <f>C17-C15</f>
        <v>0.75952380952381304</v>
      </c>
      <c r="D16" s="33">
        <f>D17-D15</f>
        <v>2.1670000000000016</v>
      </c>
      <c r="E16" s="7">
        <f>E17-E15</f>
        <v>1.9502999999999986</v>
      </c>
      <c r="F16" s="8">
        <f>F17-F15</f>
        <v>1.5169000000000068</v>
      </c>
      <c r="G16" s="8">
        <f>G17-G15</f>
        <v>0</v>
      </c>
    </row>
    <row r="17" spans="1:8" x14ac:dyDescent="0.2">
      <c r="A17" s="22" t="s">
        <v>13</v>
      </c>
      <c r="B17" s="23"/>
      <c r="C17" s="23">
        <v>65</v>
      </c>
      <c r="D17" s="22">
        <v>50</v>
      </c>
      <c r="E17" s="23">
        <v>45</v>
      </c>
      <c r="F17" s="26">
        <v>35</v>
      </c>
      <c r="G17" s="26">
        <v>75</v>
      </c>
    </row>
    <row r="18" spans="1:8" x14ac:dyDescent="0.2">
      <c r="A18" s="27"/>
      <c r="B18" s="27"/>
      <c r="C18" s="27"/>
      <c r="D18" s="27"/>
      <c r="E18" s="27"/>
      <c r="F18" s="27"/>
      <c r="G18" s="27"/>
    </row>
    <row r="19" spans="1:8" x14ac:dyDescent="0.2">
      <c r="A19" s="27"/>
      <c r="B19" s="27"/>
      <c r="C19" s="27" t="s">
        <v>39</v>
      </c>
      <c r="D19" s="27"/>
      <c r="E19" s="27" t="s">
        <v>21</v>
      </c>
      <c r="F19" s="27" t="s">
        <v>21</v>
      </c>
      <c r="G19" s="27" t="s">
        <v>21</v>
      </c>
    </row>
    <row r="20" spans="1:8" ht="27.75" customHeight="1" x14ac:dyDescent="0.2">
      <c r="A20" s="43" t="s">
        <v>14</v>
      </c>
      <c r="B20" s="44"/>
      <c r="C20" s="44"/>
      <c r="D20" s="44"/>
      <c r="E20" s="44"/>
      <c r="F20" s="44"/>
      <c r="G20" s="44"/>
    </row>
    <row r="21" spans="1:8" x14ac:dyDescent="0.2">
      <c r="A21" s="29" t="s">
        <v>15</v>
      </c>
      <c r="B21" s="4"/>
      <c r="C21" s="30">
        <f>C29/100*C25/0.185</f>
        <v>23.25945945945946</v>
      </c>
      <c r="D21" s="30">
        <f>D29*D25/0.185/100</f>
        <v>13.054054054054054</v>
      </c>
      <c r="E21" s="4">
        <f>D21*45/50</f>
        <v>11.748648648648647</v>
      </c>
      <c r="F21" s="30">
        <f>D21*0.7</f>
        <v>9.1378378378378375</v>
      </c>
      <c r="G21" s="31">
        <f>G29*G25/0.185/100</f>
        <v>37.45945945945946</v>
      </c>
    </row>
    <row r="22" spans="1:8" x14ac:dyDescent="0.2">
      <c r="A22" s="21" t="s">
        <v>16</v>
      </c>
      <c r="B22" s="1"/>
      <c r="C22" s="2">
        <f>((0.18*C17)-C21*0.21)/0.38</f>
        <v>17.935561877667137</v>
      </c>
      <c r="D22" s="2">
        <f>((0.21*D17)-D21*0.21)/0.38</f>
        <v>20.417496443812233</v>
      </c>
      <c r="E22" s="1">
        <f>D22*45/50</f>
        <v>18.37574679943101</v>
      </c>
      <c r="F22" s="2">
        <f>D22*0.7</f>
        <v>14.292247510668561</v>
      </c>
      <c r="G22" s="15">
        <f>((0.196*G17)-G21*0.21)/0.38</f>
        <v>17.982930298719776</v>
      </c>
    </row>
    <row r="23" spans="1:8" x14ac:dyDescent="0.2">
      <c r="A23" s="22" t="s">
        <v>11</v>
      </c>
      <c r="B23" s="23"/>
      <c r="C23" s="28">
        <f>SUM(C5:C12)+C21+C22</f>
        <v>64.945021337126605</v>
      </c>
      <c r="D23" s="28">
        <f>SUM(D5:D12)+D21+D22</f>
        <v>48.804550497866288</v>
      </c>
      <c r="E23" s="28">
        <f>SUM(E5:E12)+E21+E22</f>
        <v>43.924095448079655</v>
      </c>
      <c r="F23" s="28">
        <f>SUM(F5:F12)+F21+F22</f>
        <v>34.163185348506396</v>
      </c>
      <c r="G23" s="28">
        <f>SUM(G5:G12)+G21+G22</f>
        <v>74.942389758179232</v>
      </c>
    </row>
    <row r="24" spans="1:8" x14ac:dyDescent="0.2">
      <c r="A24" s="13" t="s">
        <v>12</v>
      </c>
      <c r="B24" s="3"/>
      <c r="C24" s="7">
        <f>C25-C23</f>
        <v>5.4978662873395479E-2</v>
      </c>
      <c r="D24" s="7">
        <f>D25-D23</f>
        <v>1.1954495021337124</v>
      </c>
      <c r="E24" s="7">
        <f>E25-E23</f>
        <v>1.0759045519203454</v>
      </c>
      <c r="F24" s="7">
        <f>F25-F23</f>
        <v>0.83681465149360434</v>
      </c>
      <c r="G24" s="8">
        <f>G25-G23</f>
        <v>5.7610241820768238E-2</v>
      </c>
    </row>
    <row r="25" spans="1:8" x14ac:dyDescent="0.2">
      <c r="A25" s="22" t="s">
        <v>13</v>
      </c>
      <c r="B25" s="23"/>
      <c r="C25" s="23">
        <v>65</v>
      </c>
      <c r="D25" s="23">
        <v>50</v>
      </c>
      <c r="E25" s="23">
        <v>45</v>
      </c>
      <c r="F25" s="23">
        <v>35</v>
      </c>
      <c r="G25" s="26">
        <v>75</v>
      </c>
    </row>
    <row r="26" spans="1:8" x14ac:dyDescent="0.2">
      <c r="A26" s="27"/>
      <c r="B26" s="27"/>
      <c r="C26" s="27"/>
      <c r="D26" s="27"/>
      <c r="E26" s="27"/>
      <c r="F26" s="27"/>
      <c r="G26" s="27"/>
    </row>
    <row r="27" spans="1:8" x14ac:dyDescent="0.2">
      <c r="A27" s="27" t="s">
        <v>33</v>
      </c>
      <c r="B27" s="27"/>
      <c r="C27" s="57">
        <f>(SUMPRODUCT(C5:C14,$R$5:$R$14))/C17*100</f>
        <v>18.946776556776555</v>
      </c>
      <c r="D27" s="57">
        <f>(SUMPRODUCT(D5:D14,$R$5:$R$14))/D17*100</f>
        <v>21.608333333333334</v>
      </c>
      <c r="E27" s="57">
        <f>(SUMPRODUCT(E5:E14,$R$5:$R$14))/E17*100</f>
        <v>21.608333333333331</v>
      </c>
      <c r="F27" s="57">
        <f>(SUMPRODUCT(F5:F14,$R$5:$R$14))/F17*100</f>
        <v>21.608333333333331</v>
      </c>
      <c r="G27" s="57">
        <f>(SUMPRODUCT(G5:G14,$R$5:$R$14))/G17*100</f>
        <v>21.786222222222221</v>
      </c>
      <c r="H27" s="57"/>
    </row>
    <row r="28" spans="1:8" x14ac:dyDescent="0.2">
      <c r="A28" s="27" t="s">
        <v>34</v>
      </c>
      <c r="B28" s="27"/>
      <c r="C28" s="57">
        <f>(SUMPRODUCT(C5:C14,$S$5:$S$14))/C17*100</f>
        <v>15.813040293040292</v>
      </c>
      <c r="D28" s="57">
        <f>(SUMPRODUCT(D5:D14,$S$5:$S$14))/D17*100</f>
        <v>18.38</v>
      </c>
      <c r="E28" s="57">
        <f>(SUMPRODUCT(E5:E14,$S$5:$S$14))/E17*100</f>
        <v>18.38</v>
      </c>
      <c r="F28" s="57">
        <f>(SUMPRODUCT(F5:F14,$S$5:$S$14))/F17*100</f>
        <v>18.38</v>
      </c>
      <c r="G28" s="57">
        <f>(SUMPRODUCT(G5:G14,$S$5:$S$14))/G17*100</f>
        <v>17.54</v>
      </c>
      <c r="H28" s="57"/>
    </row>
    <row r="29" spans="1:8" x14ac:dyDescent="0.2">
      <c r="A29" s="27" t="s">
        <v>35</v>
      </c>
      <c r="B29" s="27"/>
      <c r="C29" s="58">
        <f>(SUMPRODUCT(C5:C14,$T$5:$T$14))/C17*100</f>
        <v>6.6199999999999992</v>
      </c>
      <c r="D29" s="58">
        <f>(SUMPRODUCT(D5:D14,$T$5:$T$14))/D17*100</f>
        <v>4.83</v>
      </c>
      <c r="E29" s="58">
        <f>(SUMPRODUCT(E5:E14,$T$5:$T$14))/E17*100</f>
        <v>4.8299999999999992</v>
      </c>
      <c r="F29" s="58">
        <f>(SUMPRODUCT(F5:F14,$T$5:$T$14))/F17*100</f>
        <v>4.8299999999999992</v>
      </c>
      <c r="G29" s="58">
        <f>(SUMPRODUCT(G5:G14,$T$5:$T$14))/G17*100</f>
        <v>9.24</v>
      </c>
      <c r="H29" s="58"/>
    </row>
    <row r="30" spans="1:8" x14ac:dyDescent="0.2">
      <c r="A30" s="27" t="s">
        <v>36</v>
      </c>
      <c r="B30" s="27"/>
      <c r="C30" s="57">
        <f>(SUMPRODUCT(C5:C14,$U$5:$U$14))/C17*100</f>
        <v>7.2553846153846164</v>
      </c>
      <c r="D30" s="57">
        <f>(SUMPRODUCT(D5:D14,$U$5:$U$14))/D17*100</f>
        <v>5.2394760000000007</v>
      </c>
      <c r="E30" s="57">
        <f>(SUMPRODUCT(E5:E14,$U$5:$U$14))/E17*100</f>
        <v>5.2394759999999998</v>
      </c>
      <c r="F30" s="57">
        <f>(SUMPRODUCT(F5:F14,$U$5:$U$14))/F17*100</f>
        <v>5.2394759999999998</v>
      </c>
      <c r="G30" s="57">
        <f>(SUMPRODUCT(G5:G14,$U$5:$U$14))/G17*100</f>
        <v>0</v>
      </c>
      <c r="H30" s="27"/>
    </row>
    <row r="31" spans="1:8" x14ac:dyDescent="0.2">
      <c r="A31" s="27" t="s">
        <v>37</v>
      </c>
      <c r="B31" s="27"/>
      <c r="C31" s="57">
        <f>C8*0.99/C17*100</f>
        <v>4.264615384615384</v>
      </c>
      <c r="D31" s="27"/>
      <c r="E31" s="27"/>
      <c r="F31" s="27"/>
      <c r="G31" s="27"/>
      <c r="H31" s="27"/>
    </row>
    <row r="32" spans="1:8" x14ac:dyDescent="0.2">
      <c r="A32" s="27" t="s">
        <v>38</v>
      </c>
      <c r="B32" s="27"/>
      <c r="C32" s="57">
        <f>C10*0.981/C17*100</f>
        <v>5.2068461538461541</v>
      </c>
      <c r="D32" s="27"/>
      <c r="E32" s="27"/>
      <c r="F32" s="27"/>
      <c r="G32" s="27"/>
      <c r="H32" s="27"/>
    </row>
    <row r="33" spans="1:7" x14ac:dyDescent="0.2">
      <c r="A33" s="27"/>
      <c r="B33" s="27"/>
      <c r="C33" s="27"/>
      <c r="D33" s="27"/>
      <c r="E33" s="27"/>
      <c r="F33" s="27"/>
      <c r="G33" s="27"/>
    </row>
    <row r="34" spans="1:7" x14ac:dyDescent="0.2">
      <c r="A34" s="27"/>
      <c r="B34" s="27"/>
      <c r="C34" s="27"/>
      <c r="D34" s="27"/>
      <c r="E34" s="27"/>
      <c r="F34" s="27"/>
      <c r="G34" s="27"/>
    </row>
    <row r="35" spans="1:7" x14ac:dyDescent="0.2">
      <c r="A35" s="27"/>
      <c r="B35" s="27"/>
      <c r="C35" s="27"/>
      <c r="D35" s="27"/>
      <c r="E35" s="27"/>
      <c r="F35" s="27"/>
      <c r="G35" s="27"/>
    </row>
    <row r="36" spans="1:7" x14ac:dyDescent="0.2">
      <c r="A36" s="32" t="s">
        <v>17</v>
      </c>
    </row>
    <row r="37" spans="1:7" x14ac:dyDescent="0.2">
      <c r="A37" s="16" t="s">
        <v>0</v>
      </c>
      <c r="B37" s="17"/>
      <c r="C37" s="18" t="s">
        <v>1</v>
      </c>
      <c r="D37" s="18" t="s">
        <v>2</v>
      </c>
      <c r="E37" s="18" t="s">
        <v>3</v>
      </c>
      <c r="F37" s="18" t="s">
        <v>3</v>
      </c>
      <c r="G37" s="19" t="s">
        <v>4</v>
      </c>
    </row>
    <row r="38" spans="1:7" x14ac:dyDescent="0.2">
      <c r="A38" s="9" t="str">
        <f t="shared" ref="A38:A47" si="2">A5</f>
        <v>Vitamin premix with phytase 2x</v>
      </c>
      <c r="B38" s="4"/>
      <c r="C38" s="45">
        <f t="shared" ref="C38:G47" si="3">C5/C$17*2000</f>
        <v>76.923076923076934</v>
      </c>
      <c r="D38" s="45">
        <f t="shared" si="3"/>
        <v>60</v>
      </c>
      <c r="E38" s="45">
        <f t="shared" si="3"/>
        <v>60.000000000000007</v>
      </c>
      <c r="F38" s="45">
        <f t="shared" si="3"/>
        <v>59.999999999999993</v>
      </c>
      <c r="G38" s="42">
        <f t="shared" si="3"/>
        <v>66.666666666666671</v>
      </c>
    </row>
    <row r="39" spans="1:7" x14ac:dyDescent="0.2">
      <c r="A39" s="13" t="str">
        <f t="shared" si="2"/>
        <v>Trace mineral premix 1.5x</v>
      </c>
      <c r="B39" s="3"/>
      <c r="C39" s="5">
        <f t="shared" si="3"/>
        <v>61.53846153846154</v>
      </c>
      <c r="D39" s="5">
        <f t="shared" si="3"/>
        <v>80</v>
      </c>
      <c r="E39" s="5">
        <f t="shared" si="3"/>
        <v>80</v>
      </c>
      <c r="F39" s="5">
        <f t="shared" si="3"/>
        <v>80</v>
      </c>
      <c r="G39" s="11">
        <f t="shared" si="3"/>
        <v>53.333333333333336</v>
      </c>
    </row>
    <row r="40" spans="1:7" x14ac:dyDescent="0.2">
      <c r="A40" s="13" t="str">
        <f t="shared" si="2"/>
        <v>Sow add pack</v>
      </c>
      <c r="B40" s="3"/>
      <c r="C40" s="5">
        <f t="shared" si="3"/>
        <v>0</v>
      </c>
      <c r="D40" s="5">
        <f t="shared" si="3"/>
        <v>0</v>
      </c>
      <c r="E40" s="5">
        <f t="shared" si="3"/>
        <v>0</v>
      </c>
      <c r="F40" s="5">
        <f t="shared" si="3"/>
        <v>0</v>
      </c>
      <c r="G40" s="11">
        <f t="shared" si="3"/>
        <v>133.33333333333334</v>
      </c>
    </row>
    <row r="41" spans="1:7" x14ac:dyDescent="0.2">
      <c r="A41" s="13" t="str">
        <f t="shared" si="2"/>
        <v>L-threonine</v>
      </c>
      <c r="B41" s="3"/>
      <c r="C41" s="5">
        <f t="shared" si="3"/>
        <v>86.153846153846146</v>
      </c>
      <c r="D41" s="5">
        <f t="shared" si="3"/>
        <v>0</v>
      </c>
      <c r="E41" s="5">
        <f t="shared" si="3"/>
        <v>0</v>
      </c>
      <c r="F41" s="5">
        <f t="shared" si="3"/>
        <v>0</v>
      </c>
      <c r="G41" s="11">
        <f t="shared" si="3"/>
        <v>0</v>
      </c>
    </row>
    <row r="42" spans="1:7" x14ac:dyDescent="0.2">
      <c r="A42" s="13" t="str">
        <f t="shared" si="2"/>
        <v>L-lysine HCl</v>
      </c>
      <c r="B42" s="3"/>
      <c r="C42" s="5">
        <f t="shared" si="3"/>
        <v>184.61538461538461</v>
      </c>
      <c r="D42" s="5">
        <f t="shared" si="3"/>
        <v>133.32</v>
      </c>
      <c r="E42" s="5">
        <f t="shared" si="3"/>
        <v>133.32000000000002</v>
      </c>
      <c r="F42" s="5">
        <f t="shared" si="3"/>
        <v>133.32</v>
      </c>
      <c r="G42" s="11">
        <f t="shared" si="3"/>
        <v>0</v>
      </c>
    </row>
    <row r="43" spans="1:7" x14ac:dyDescent="0.2">
      <c r="A43" s="13" t="str">
        <f t="shared" si="2"/>
        <v>DL-Methionine</v>
      </c>
      <c r="B43" s="3"/>
      <c r="C43" s="5">
        <f t="shared" si="3"/>
        <v>106.15384615384616</v>
      </c>
      <c r="D43" s="5">
        <f t="shared" si="3"/>
        <v>0</v>
      </c>
      <c r="E43" s="5">
        <f t="shared" si="3"/>
        <v>0</v>
      </c>
      <c r="F43" s="5">
        <f t="shared" si="3"/>
        <v>0</v>
      </c>
      <c r="G43" s="11">
        <f t="shared" si="3"/>
        <v>0</v>
      </c>
    </row>
    <row r="44" spans="1:7" x14ac:dyDescent="0.2">
      <c r="A44" s="13" t="str">
        <f t="shared" si="2"/>
        <v>Salt</v>
      </c>
      <c r="B44" s="3"/>
      <c r="C44" s="5">
        <f t="shared" si="3"/>
        <v>215.38461538461539</v>
      </c>
      <c r="D44" s="5">
        <f t="shared" si="3"/>
        <v>340</v>
      </c>
      <c r="E44" s="5">
        <f t="shared" si="3"/>
        <v>340</v>
      </c>
      <c r="F44" s="5">
        <f t="shared" si="3"/>
        <v>339.99999999999994</v>
      </c>
      <c r="G44" s="11">
        <f t="shared" si="3"/>
        <v>266.66666666666669</v>
      </c>
    </row>
    <row r="45" spans="1:7" hidden="1" x14ac:dyDescent="0.2">
      <c r="A45" s="13" t="str">
        <f t="shared" si="2"/>
        <v>Natuphos 600</v>
      </c>
      <c r="B45" s="3"/>
      <c r="C45" s="5">
        <f t="shared" si="3"/>
        <v>0</v>
      </c>
      <c r="D45" s="5">
        <f t="shared" si="3"/>
        <v>0</v>
      </c>
      <c r="E45" s="5">
        <f t="shared" si="3"/>
        <v>0</v>
      </c>
      <c r="F45" s="5">
        <f t="shared" si="3"/>
        <v>0</v>
      </c>
      <c r="G45" s="11">
        <f t="shared" si="3"/>
        <v>0</v>
      </c>
    </row>
    <row r="46" spans="1:7" x14ac:dyDescent="0.2">
      <c r="A46" s="13" t="str">
        <f t="shared" si="2"/>
        <v>Monocalcium phosphate (21% P)</v>
      </c>
      <c r="B46" s="3"/>
      <c r="C46" s="5">
        <f t="shared" si="3"/>
        <v>630.47619047619048</v>
      </c>
      <c r="D46" s="5">
        <f t="shared" si="3"/>
        <v>460</v>
      </c>
      <c r="E46" s="5">
        <f t="shared" si="3"/>
        <v>459.99999999999994</v>
      </c>
      <c r="F46" s="5">
        <f t="shared" si="3"/>
        <v>459.99999999999994</v>
      </c>
      <c r="G46" s="11">
        <f t="shared" si="3"/>
        <v>880</v>
      </c>
    </row>
    <row r="47" spans="1:7" x14ac:dyDescent="0.2">
      <c r="A47" s="13" t="str">
        <f t="shared" si="2"/>
        <v>Calcium carbonate</v>
      </c>
      <c r="B47" s="3"/>
      <c r="C47" s="5">
        <f t="shared" si="3"/>
        <v>615.38461538461547</v>
      </c>
      <c r="D47" s="5">
        <f t="shared" si="3"/>
        <v>840</v>
      </c>
      <c r="E47" s="5">
        <f t="shared" si="3"/>
        <v>840</v>
      </c>
      <c r="F47" s="5">
        <f t="shared" si="3"/>
        <v>840</v>
      </c>
      <c r="G47" s="11">
        <f t="shared" si="3"/>
        <v>600</v>
      </c>
    </row>
    <row r="48" spans="1:7" x14ac:dyDescent="0.2">
      <c r="A48" s="14" t="str">
        <f>A16</f>
        <v>Carrier</v>
      </c>
      <c r="B48" s="1"/>
      <c r="C48" s="46">
        <f>C16/C$17*2000</f>
        <v>23.369963369963479</v>
      </c>
      <c r="D48" s="46">
        <f>D16/D$17*2000</f>
        <v>86.680000000000064</v>
      </c>
      <c r="E48" s="46">
        <f>E16/E$17*2000</f>
        <v>86.679999999999936</v>
      </c>
      <c r="F48" s="46">
        <f>F16/F$17*2000</f>
        <v>86.680000000000376</v>
      </c>
      <c r="G48" s="12">
        <f>G16/G$17*2000</f>
        <v>0</v>
      </c>
    </row>
    <row r="49" spans="1:7" x14ac:dyDescent="0.2">
      <c r="A49" s="14" t="s">
        <v>13</v>
      </c>
      <c r="B49" s="1"/>
      <c r="C49" s="46">
        <f>SUM(C38:C48)</f>
        <v>2000.0000000000002</v>
      </c>
      <c r="D49" s="46">
        <f>SUM(D38:D48)</f>
        <v>2000</v>
      </c>
      <c r="E49" s="46">
        <f>SUM(E38:E48)</f>
        <v>1999.9999999999998</v>
      </c>
      <c r="F49" s="46">
        <f>SUM(F38:F48)</f>
        <v>2000.0000000000002</v>
      </c>
      <c r="G49" s="15">
        <f>SUM(G38:G48)</f>
        <v>2000</v>
      </c>
    </row>
    <row r="50" spans="1:7" x14ac:dyDescent="0.2">
      <c r="D50" s="47"/>
      <c r="E50" s="47"/>
      <c r="F50" s="47"/>
    </row>
    <row r="51" spans="1:7" x14ac:dyDescent="0.2">
      <c r="D51" s="47"/>
      <c r="E51" s="47"/>
      <c r="F51" s="47"/>
    </row>
    <row r="52" spans="1:7" x14ac:dyDescent="0.2">
      <c r="A52" s="32" t="s">
        <v>18</v>
      </c>
      <c r="D52" s="47"/>
      <c r="E52" s="47"/>
      <c r="F52" s="47"/>
    </row>
    <row r="53" spans="1:7" x14ac:dyDescent="0.2">
      <c r="A53" s="16" t="s">
        <v>0</v>
      </c>
      <c r="B53" s="17"/>
      <c r="C53" s="18" t="s">
        <v>1</v>
      </c>
      <c r="D53" s="48" t="s">
        <v>2</v>
      </c>
      <c r="E53" s="48" t="s">
        <v>3</v>
      </c>
      <c r="F53" s="48" t="s">
        <v>3</v>
      </c>
      <c r="G53" s="19" t="s">
        <v>4</v>
      </c>
    </row>
    <row r="54" spans="1:7" x14ac:dyDescent="0.2">
      <c r="A54" s="9" t="str">
        <f t="shared" ref="A54:A64" si="4">A38</f>
        <v>Vitamin premix with phytase 2x</v>
      </c>
      <c r="B54" s="4"/>
      <c r="C54" s="45">
        <f t="shared" ref="C54:G63" si="5">C5/C$17*6000</f>
        <v>230.76923076923077</v>
      </c>
      <c r="D54" s="45">
        <f t="shared" si="5"/>
        <v>180</v>
      </c>
      <c r="E54" s="45">
        <f t="shared" si="5"/>
        <v>180</v>
      </c>
      <c r="F54" s="45">
        <f t="shared" si="5"/>
        <v>179.99999999999997</v>
      </c>
      <c r="G54" s="42">
        <f t="shared" si="5"/>
        <v>200</v>
      </c>
    </row>
    <row r="55" spans="1:7" x14ac:dyDescent="0.2">
      <c r="A55" s="13" t="str">
        <f t="shared" si="4"/>
        <v>Trace mineral premix 1.5x</v>
      </c>
      <c r="B55" s="3"/>
      <c r="C55" s="5">
        <f t="shared" si="5"/>
        <v>184.61538461538461</v>
      </c>
      <c r="D55" s="5">
        <f t="shared" si="5"/>
        <v>240</v>
      </c>
      <c r="E55" s="5">
        <f t="shared" si="5"/>
        <v>240</v>
      </c>
      <c r="F55" s="5">
        <f t="shared" si="5"/>
        <v>240</v>
      </c>
      <c r="G55" s="11">
        <f t="shared" si="5"/>
        <v>160</v>
      </c>
    </row>
    <row r="56" spans="1:7" x14ac:dyDescent="0.2">
      <c r="A56" s="13" t="str">
        <f t="shared" si="4"/>
        <v>Sow add pack</v>
      </c>
      <c r="B56" s="3"/>
      <c r="C56" s="5">
        <f t="shared" si="5"/>
        <v>0</v>
      </c>
      <c r="D56" s="5">
        <f t="shared" si="5"/>
        <v>0</v>
      </c>
      <c r="E56" s="5">
        <f t="shared" si="5"/>
        <v>0</v>
      </c>
      <c r="F56" s="5">
        <f t="shared" si="5"/>
        <v>0</v>
      </c>
      <c r="G56" s="11">
        <f t="shared" si="5"/>
        <v>400</v>
      </c>
    </row>
    <row r="57" spans="1:7" x14ac:dyDescent="0.2">
      <c r="A57" s="13" t="str">
        <f t="shared" si="4"/>
        <v>L-threonine</v>
      </c>
      <c r="B57" s="3"/>
      <c r="C57" s="5">
        <f t="shared" si="5"/>
        <v>258.46153846153845</v>
      </c>
      <c r="D57" s="5">
        <f t="shared" si="5"/>
        <v>0</v>
      </c>
      <c r="E57" s="5">
        <f t="shared" si="5"/>
        <v>0</v>
      </c>
      <c r="F57" s="5">
        <f t="shared" si="5"/>
        <v>0</v>
      </c>
      <c r="G57" s="11">
        <f t="shared" si="5"/>
        <v>0</v>
      </c>
    </row>
    <row r="58" spans="1:7" x14ac:dyDescent="0.2">
      <c r="A58" s="13" t="str">
        <f t="shared" si="4"/>
        <v>L-lysine HCl</v>
      </c>
      <c r="B58" s="3"/>
      <c r="C58" s="5">
        <f t="shared" si="5"/>
        <v>553.84615384615392</v>
      </c>
      <c r="D58" s="5">
        <f t="shared" si="5"/>
        <v>399.96</v>
      </c>
      <c r="E58" s="5">
        <f t="shared" si="5"/>
        <v>399.96000000000009</v>
      </c>
      <c r="F58" s="5">
        <f t="shared" si="5"/>
        <v>399.96</v>
      </c>
      <c r="G58" s="11">
        <f t="shared" si="5"/>
        <v>0</v>
      </c>
    </row>
    <row r="59" spans="1:7" x14ac:dyDescent="0.2">
      <c r="A59" s="13" t="str">
        <f t="shared" si="4"/>
        <v>DL-Methionine</v>
      </c>
      <c r="B59" s="3"/>
      <c r="C59" s="5">
        <f t="shared" si="5"/>
        <v>318.46153846153845</v>
      </c>
      <c r="D59" s="5">
        <f t="shared" si="5"/>
        <v>0</v>
      </c>
      <c r="E59" s="5">
        <f t="shared" si="5"/>
        <v>0</v>
      </c>
      <c r="F59" s="5">
        <f t="shared" si="5"/>
        <v>0</v>
      </c>
      <c r="G59" s="11">
        <f t="shared" si="5"/>
        <v>0</v>
      </c>
    </row>
    <row r="60" spans="1:7" x14ac:dyDescent="0.2">
      <c r="A60" s="13" t="str">
        <f t="shared" si="4"/>
        <v>Salt</v>
      </c>
      <c r="B60" s="3"/>
      <c r="C60" s="5">
        <f t="shared" si="5"/>
        <v>646.15384615384619</v>
      </c>
      <c r="D60" s="5">
        <f t="shared" si="5"/>
        <v>1020.0000000000001</v>
      </c>
      <c r="E60" s="5">
        <f t="shared" si="5"/>
        <v>1020.0000000000001</v>
      </c>
      <c r="F60" s="5">
        <f t="shared" si="5"/>
        <v>1019.9999999999999</v>
      </c>
      <c r="G60" s="11">
        <f t="shared" si="5"/>
        <v>800</v>
      </c>
    </row>
    <row r="61" spans="1:7" hidden="1" x14ac:dyDescent="0.2">
      <c r="A61" s="13" t="str">
        <f t="shared" si="4"/>
        <v>Natuphos 600</v>
      </c>
      <c r="B61" s="3"/>
      <c r="C61" s="5">
        <f t="shared" si="5"/>
        <v>0</v>
      </c>
      <c r="D61" s="5">
        <f t="shared" si="5"/>
        <v>0</v>
      </c>
      <c r="E61" s="5">
        <f t="shared" si="5"/>
        <v>0</v>
      </c>
      <c r="F61" s="5">
        <f t="shared" si="5"/>
        <v>0</v>
      </c>
      <c r="G61" s="11">
        <f t="shared" si="5"/>
        <v>0</v>
      </c>
    </row>
    <row r="62" spans="1:7" x14ac:dyDescent="0.2">
      <c r="A62" s="13" t="str">
        <f t="shared" si="4"/>
        <v>Monocalcium phosphate (21% P)</v>
      </c>
      <c r="B62" s="3"/>
      <c r="C62" s="5">
        <f t="shared" si="5"/>
        <v>1891.4285714285716</v>
      </c>
      <c r="D62" s="5">
        <f t="shared" si="5"/>
        <v>1380</v>
      </c>
      <c r="E62" s="5">
        <f t="shared" si="5"/>
        <v>1380</v>
      </c>
      <c r="F62" s="5">
        <f t="shared" si="5"/>
        <v>1380</v>
      </c>
      <c r="G62" s="11">
        <f t="shared" si="5"/>
        <v>2640</v>
      </c>
    </row>
    <row r="63" spans="1:7" x14ac:dyDescent="0.2">
      <c r="A63" s="13" t="str">
        <f t="shared" si="4"/>
        <v>Calcium carbonate</v>
      </c>
      <c r="B63" s="3"/>
      <c r="C63" s="5">
        <f t="shared" si="5"/>
        <v>1846.1538461538462</v>
      </c>
      <c r="D63" s="5">
        <f t="shared" si="5"/>
        <v>2520</v>
      </c>
      <c r="E63" s="5">
        <f t="shared" si="5"/>
        <v>2520</v>
      </c>
      <c r="F63" s="5">
        <f t="shared" si="5"/>
        <v>2520</v>
      </c>
      <c r="G63" s="11">
        <f t="shared" si="5"/>
        <v>1800</v>
      </c>
    </row>
    <row r="64" spans="1:7" x14ac:dyDescent="0.2">
      <c r="A64" s="14" t="str">
        <f t="shared" si="4"/>
        <v>Carrier</v>
      </c>
      <c r="B64" s="1"/>
      <c r="C64" s="46">
        <f>C16/C$17*6000</f>
        <v>70.109890109890429</v>
      </c>
      <c r="D64" s="46">
        <f>D16/D$17*6000</f>
        <v>260.04000000000019</v>
      </c>
      <c r="E64" s="46">
        <f>E16/E$17*6000</f>
        <v>260.03999999999979</v>
      </c>
      <c r="F64" s="46">
        <f>F16/F$17*6000</f>
        <v>260.04000000000116</v>
      </c>
      <c r="G64" s="12">
        <f>G16/G$17*6000</f>
        <v>0</v>
      </c>
    </row>
    <row r="65" spans="1:7" x14ac:dyDescent="0.2">
      <c r="A65" s="14" t="s">
        <v>13</v>
      </c>
      <c r="B65" s="1"/>
      <c r="C65" s="2">
        <f>SUM(C54:C64)</f>
        <v>6000</v>
      </c>
      <c r="D65" s="46">
        <f>SUM(D54:D64)</f>
        <v>6000</v>
      </c>
      <c r="E65" s="46">
        <f>SUM(E54:E64)</f>
        <v>6000</v>
      </c>
      <c r="F65" s="46">
        <f>SUM(F54:F64)</f>
        <v>6000.0000000000009</v>
      </c>
      <c r="G65" s="15">
        <f>SUM(G54:G64)</f>
        <v>6000</v>
      </c>
    </row>
  </sheetData>
  <phoneticPr fontId="0" type="noConversion"/>
  <pageMargins left="0.75" right="1.27" top="1" bottom="3.87" header="0.5" footer="0.5"/>
  <pageSetup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65"/>
  <sheetViews>
    <sheetView tabSelected="1" workbookViewId="0">
      <selection activeCell="AG9" sqref="AG9"/>
    </sheetView>
  </sheetViews>
  <sheetFormatPr defaultRowHeight="12.75" x14ac:dyDescent="0.2"/>
  <cols>
    <col min="1" max="1" width="30.28515625" customWidth="1"/>
    <col min="2" max="2" width="5.28515625" hidden="1" customWidth="1"/>
    <col min="3" max="4" width="7.5703125" customWidth="1"/>
    <col min="5" max="6" width="9" hidden="1" customWidth="1"/>
    <col min="7" max="7" width="9" customWidth="1"/>
    <col min="8" max="8" width="8.7109375" hidden="1" customWidth="1"/>
    <col min="9" max="10" width="9" hidden="1" customWidth="1"/>
    <col min="11" max="11" width="8.28515625" bestFit="1" customWidth="1"/>
    <col min="12" max="12" width="9.5703125" hidden="1" customWidth="1"/>
    <col min="13" max="14" width="10.42578125" hidden="1" customWidth="1"/>
    <col min="16" max="26" width="0" hidden="1" customWidth="1"/>
    <col min="30" max="30" width="10.85546875" bestFit="1" customWidth="1"/>
  </cols>
  <sheetData>
    <row r="1" spans="1:33" ht="25.5" customHeight="1" x14ac:dyDescent="0.2">
      <c r="A1" s="43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33" x14ac:dyDescent="0.2">
      <c r="A2" s="35" t="s">
        <v>19</v>
      </c>
      <c r="C2" s="36">
        <v>1</v>
      </c>
      <c r="D2" s="3">
        <v>2</v>
      </c>
      <c r="E2" s="3"/>
      <c r="F2" s="3"/>
      <c r="G2" s="65">
        <v>3</v>
      </c>
      <c r="H2" s="3">
        <v>4</v>
      </c>
      <c r="I2" t="s">
        <v>42</v>
      </c>
      <c r="K2" s="76">
        <v>4</v>
      </c>
      <c r="L2" s="76">
        <v>5</v>
      </c>
      <c r="M2" s="36">
        <v>7</v>
      </c>
      <c r="N2" s="76">
        <v>8</v>
      </c>
    </row>
    <row r="3" spans="1:33" x14ac:dyDescent="0.2">
      <c r="A3" s="32"/>
      <c r="D3" s="66"/>
      <c r="E3" s="66"/>
      <c r="F3" s="66"/>
      <c r="G3" s="3"/>
      <c r="H3" s="75" t="s">
        <v>57</v>
      </c>
      <c r="I3" s="52"/>
      <c r="J3" s="52"/>
      <c r="K3" s="75" t="s">
        <v>57</v>
      </c>
      <c r="L3" s="75" t="s">
        <v>58</v>
      </c>
      <c r="M3" s="75" t="s">
        <v>61</v>
      </c>
      <c r="N3" s="75" t="s">
        <v>61</v>
      </c>
      <c r="P3" t="s">
        <v>44</v>
      </c>
      <c r="T3" t="s">
        <v>45</v>
      </c>
    </row>
    <row r="4" spans="1:33" x14ac:dyDescent="0.2">
      <c r="A4" s="16" t="s">
        <v>0</v>
      </c>
      <c r="B4" s="17"/>
      <c r="C4" s="18" t="s">
        <v>1</v>
      </c>
      <c r="D4" s="67" t="s">
        <v>26</v>
      </c>
      <c r="E4" s="67" t="s">
        <v>2</v>
      </c>
      <c r="F4" s="67" t="s">
        <v>3</v>
      </c>
      <c r="G4" s="67" t="s">
        <v>4</v>
      </c>
      <c r="H4" s="67" t="s">
        <v>26</v>
      </c>
      <c r="I4" s="49" t="s">
        <v>2</v>
      </c>
      <c r="J4" s="39" t="s">
        <v>3</v>
      </c>
      <c r="K4" s="67" t="s">
        <v>26</v>
      </c>
      <c r="L4" s="67" t="s">
        <v>26</v>
      </c>
      <c r="M4" s="18" t="s">
        <v>1</v>
      </c>
      <c r="N4" s="67" t="s">
        <v>26</v>
      </c>
      <c r="P4" s="54" t="s">
        <v>43</v>
      </c>
      <c r="Q4" s="54" t="s">
        <v>42</v>
      </c>
      <c r="R4" s="54" t="s">
        <v>13</v>
      </c>
      <c r="T4" s="54" t="s">
        <v>43</v>
      </c>
      <c r="U4" s="54" t="s">
        <v>42</v>
      </c>
      <c r="AB4" t="s">
        <v>29</v>
      </c>
      <c r="AC4" s="54" t="s">
        <v>30</v>
      </c>
      <c r="AD4" t="s">
        <v>31</v>
      </c>
      <c r="AE4" t="s">
        <v>32</v>
      </c>
      <c r="AF4" s="77" t="s">
        <v>55</v>
      </c>
      <c r="AG4" s="77" t="s">
        <v>59</v>
      </c>
    </row>
    <row r="5" spans="1:33" x14ac:dyDescent="0.2">
      <c r="A5" s="13" t="s">
        <v>62</v>
      </c>
      <c r="B5" s="3"/>
      <c r="C5" s="3">
        <v>5</v>
      </c>
      <c r="D5" s="68">
        <v>3</v>
      </c>
      <c r="E5" s="3">
        <f t="shared" ref="E5:E11" si="0">D5*45/50</f>
        <v>2.7</v>
      </c>
      <c r="F5" s="6">
        <f t="shared" ref="F5:F11" si="1">D5*0.7</f>
        <v>2.0999999999999996</v>
      </c>
      <c r="G5" s="6">
        <v>0</v>
      </c>
      <c r="H5" s="13">
        <v>1.2</v>
      </c>
      <c r="I5" s="3">
        <f t="shared" ref="I5:I11" si="2">H5*45/50</f>
        <v>1.08</v>
      </c>
      <c r="J5" s="6">
        <f t="shared" ref="J5:J11" si="3">H5*0.7</f>
        <v>0.84</v>
      </c>
      <c r="K5" s="68">
        <v>3</v>
      </c>
      <c r="L5" s="68">
        <v>3</v>
      </c>
      <c r="M5" s="3">
        <v>5</v>
      </c>
      <c r="N5" s="68">
        <v>3</v>
      </c>
      <c r="P5" s="60">
        <f t="shared" ref="P5:P14" si="4">0.6*D5</f>
        <v>1.7999999999999998</v>
      </c>
      <c r="Q5" s="60">
        <f>D5-P5</f>
        <v>1.2000000000000002</v>
      </c>
      <c r="R5" s="60">
        <f>SUM(P5:Q5)</f>
        <v>3</v>
      </c>
      <c r="T5">
        <f t="shared" ref="T5:T12" si="5">D5*0.2</f>
        <v>0.60000000000000009</v>
      </c>
      <c r="U5">
        <f>Q5*2</f>
        <v>2.4000000000000004</v>
      </c>
      <c r="V5" s="60">
        <f>SUM(T5:U5)</f>
        <v>3.0000000000000004</v>
      </c>
      <c r="X5">
        <f>T5*0.7</f>
        <v>0.42000000000000004</v>
      </c>
      <c r="Y5">
        <f>U5*0.7</f>
        <v>1.6800000000000002</v>
      </c>
      <c r="Z5">
        <f>V5*0.7</f>
        <v>2.1</v>
      </c>
      <c r="AB5" s="55">
        <f>3/5*0.38</f>
        <v>0.22799999999999998</v>
      </c>
      <c r="AC5" s="55">
        <v>0</v>
      </c>
      <c r="AF5" s="83">
        <v>598748</v>
      </c>
      <c r="AG5" s="79">
        <v>0.9</v>
      </c>
    </row>
    <row r="6" spans="1:33" x14ac:dyDescent="0.2">
      <c r="A6" s="13" t="s">
        <v>41</v>
      </c>
      <c r="B6" s="3"/>
      <c r="C6" s="3">
        <v>3</v>
      </c>
      <c r="D6" s="69">
        <v>3</v>
      </c>
      <c r="E6" s="3">
        <f t="shared" si="0"/>
        <v>2.7</v>
      </c>
      <c r="F6" s="6">
        <f t="shared" si="1"/>
        <v>2.0999999999999996</v>
      </c>
      <c r="G6" s="6">
        <v>0</v>
      </c>
      <c r="H6" s="13">
        <v>1.2</v>
      </c>
      <c r="I6" s="3">
        <f t="shared" si="2"/>
        <v>1.08</v>
      </c>
      <c r="J6" s="6">
        <f t="shared" si="3"/>
        <v>0.84</v>
      </c>
      <c r="K6" s="69">
        <v>3</v>
      </c>
      <c r="L6" s="69">
        <v>3</v>
      </c>
      <c r="M6" s="3">
        <v>3</v>
      </c>
      <c r="N6" s="69">
        <v>3</v>
      </c>
      <c r="P6" s="60">
        <f t="shared" si="4"/>
        <v>1.7999999999999998</v>
      </c>
      <c r="Q6" s="60">
        <f>D6-P6</f>
        <v>1.2000000000000002</v>
      </c>
      <c r="R6" s="60">
        <f t="shared" ref="R6:R14" si="6">SUM(P6:Q6)</f>
        <v>3</v>
      </c>
      <c r="T6">
        <f t="shared" si="5"/>
        <v>0.60000000000000009</v>
      </c>
      <c r="U6">
        <f t="shared" ref="U6:U14" si="7">Q6*2</f>
        <v>2.4000000000000004</v>
      </c>
      <c r="V6" s="60">
        <f t="shared" ref="V6:V14" si="8">SUM(T6:U6)</f>
        <v>3.0000000000000004</v>
      </c>
      <c r="X6">
        <f t="shared" ref="X6:X14" si="9">T6*0.7</f>
        <v>0.42000000000000004</v>
      </c>
      <c r="Y6">
        <f t="shared" ref="Y6:Y14" si="10">U6*0.7</f>
        <v>1.6800000000000002</v>
      </c>
      <c r="Z6">
        <f t="shared" ref="Z6:Z14" si="11">V6*0.7</f>
        <v>2.1</v>
      </c>
      <c r="AB6" s="55">
        <f>1.4/3*0.38</f>
        <v>0.17733333333333332</v>
      </c>
      <c r="AC6" s="55">
        <v>0</v>
      </c>
      <c r="AG6" s="79">
        <v>0.5</v>
      </c>
    </row>
    <row r="7" spans="1:33" x14ac:dyDescent="0.2">
      <c r="A7" s="82" t="s">
        <v>64</v>
      </c>
      <c r="B7" s="3"/>
      <c r="C7" s="3">
        <v>0</v>
      </c>
      <c r="D7" s="69">
        <v>0</v>
      </c>
      <c r="E7" s="3">
        <f t="shared" si="0"/>
        <v>0</v>
      </c>
      <c r="F7" s="6">
        <f t="shared" si="1"/>
        <v>0</v>
      </c>
      <c r="G7" s="6">
        <v>10</v>
      </c>
      <c r="H7" s="13">
        <v>0</v>
      </c>
      <c r="I7" s="3">
        <f t="shared" si="2"/>
        <v>0</v>
      </c>
      <c r="J7" s="6">
        <f t="shared" si="3"/>
        <v>0</v>
      </c>
      <c r="K7" s="69"/>
      <c r="L7" s="69">
        <v>0</v>
      </c>
      <c r="M7" s="3">
        <v>0</v>
      </c>
      <c r="N7" s="69">
        <v>0</v>
      </c>
      <c r="P7" s="60">
        <f t="shared" si="4"/>
        <v>0</v>
      </c>
      <c r="Q7" s="60">
        <f>D7-P7</f>
        <v>0</v>
      </c>
      <c r="R7" s="60">
        <f t="shared" si="6"/>
        <v>0</v>
      </c>
      <c r="T7">
        <f t="shared" si="5"/>
        <v>0</v>
      </c>
      <c r="U7">
        <f t="shared" si="7"/>
        <v>0</v>
      </c>
      <c r="V7" s="60">
        <f t="shared" si="8"/>
        <v>0</v>
      </c>
      <c r="X7">
        <f t="shared" si="9"/>
        <v>0</v>
      </c>
      <c r="Y7">
        <f t="shared" si="10"/>
        <v>0</v>
      </c>
      <c r="Z7">
        <f t="shared" si="11"/>
        <v>0</v>
      </c>
      <c r="AB7" s="55">
        <f>2/5*0.38</f>
        <v>0.15200000000000002</v>
      </c>
      <c r="AC7" s="55">
        <v>0</v>
      </c>
      <c r="AF7">
        <v>179624</v>
      </c>
      <c r="AG7" s="79">
        <v>1.1000000000000001</v>
      </c>
    </row>
    <row r="8" spans="1:33" x14ac:dyDescent="0.2">
      <c r="A8" s="13" t="s">
        <v>24</v>
      </c>
      <c r="B8" s="3"/>
      <c r="C8" s="10">
        <v>2.8</v>
      </c>
      <c r="D8" s="69">
        <v>0</v>
      </c>
      <c r="E8" s="3">
        <f t="shared" si="0"/>
        <v>0</v>
      </c>
      <c r="F8" s="6">
        <f t="shared" si="1"/>
        <v>0</v>
      </c>
      <c r="G8" s="6">
        <v>0</v>
      </c>
      <c r="H8" s="13">
        <v>0</v>
      </c>
      <c r="I8" s="3">
        <f t="shared" si="2"/>
        <v>0</v>
      </c>
      <c r="J8" s="6">
        <f t="shared" si="3"/>
        <v>0</v>
      </c>
      <c r="K8" s="69"/>
      <c r="L8" s="69">
        <v>1</v>
      </c>
      <c r="M8" s="10">
        <v>2.8</v>
      </c>
      <c r="N8" s="69">
        <v>0</v>
      </c>
      <c r="P8" s="60">
        <f t="shared" si="4"/>
        <v>0</v>
      </c>
      <c r="Q8" s="60">
        <f>D8-P8</f>
        <v>0</v>
      </c>
      <c r="R8" s="60">
        <f t="shared" si="6"/>
        <v>0</v>
      </c>
      <c r="T8">
        <f t="shared" si="5"/>
        <v>0</v>
      </c>
      <c r="U8">
        <f t="shared" si="7"/>
        <v>0</v>
      </c>
      <c r="V8" s="60">
        <f t="shared" si="8"/>
        <v>0</v>
      </c>
      <c r="X8">
        <f t="shared" si="9"/>
        <v>0</v>
      </c>
      <c r="Y8">
        <f t="shared" si="10"/>
        <v>0</v>
      </c>
      <c r="Z8">
        <f t="shared" si="11"/>
        <v>0</v>
      </c>
      <c r="AG8" s="79">
        <v>1.2</v>
      </c>
    </row>
    <row r="9" spans="1:33" x14ac:dyDescent="0.2">
      <c r="A9" s="13" t="s">
        <v>6</v>
      </c>
      <c r="B9" s="3"/>
      <c r="C9" s="37">
        <v>6</v>
      </c>
      <c r="D9" s="69">
        <v>3.3330000000000002</v>
      </c>
      <c r="E9" s="10">
        <f t="shared" si="0"/>
        <v>2.9997000000000003</v>
      </c>
      <c r="F9" s="6">
        <f t="shared" si="1"/>
        <v>2.3331</v>
      </c>
      <c r="G9" s="6">
        <v>0</v>
      </c>
      <c r="H9" s="13">
        <v>3.3330000000000002</v>
      </c>
      <c r="I9" s="10">
        <f t="shared" si="2"/>
        <v>2.9997000000000003</v>
      </c>
      <c r="J9" s="6">
        <f t="shared" si="3"/>
        <v>2.3331</v>
      </c>
      <c r="K9" s="69">
        <v>7.5</v>
      </c>
      <c r="L9" s="69">
        <v>6</v>
      </c>
      <c r="M9" s="37">
        <v>6</v>
      </c>
      <c r="N9" s="69">
        <v>3.3330000000000002</v>
      </c>
      <c r="P9" s="60">
        <f t="shared" si="4"/>
        <v>1.9998</v>
      </c>
      <c r="Q9" s="60">
        <f>D9+2-P9</f>
        <v>3.3332000000000002</v>
      </c>
      <c r="R9" s="60">
        <f t="shared" si="6"/>
        <v>5.3330000000000002</v>
      </c>
      <c r="T9">
        <f t="shared" si="5"/>
        <v>0.66660000000000008</v>
      </c>
      <c r="U9">
        <f t="shared" si="7"/>
        <v>6.6664000000000003</v>
      </c>
      <c r="V9" s="60">
        <f t="shared" si="8"/>
        <v>7.3330000000000002</v>
      </c>
      <c r="X9">
        <f t="shared" si="9"/>
        <v>0.46662000000000003</v>
      </c>
      <c r="Y9">
        <f t="shared" si="10"/>
        <v>4.66648</v>
      </c>
      <c r="Z9">
        <f t="shared" si="11"/>
        <v>5.1330999999999998</v>
      </c>
      <c r="AE9" s="59">
        <v>0.78600000000000003</v>
      </c>
      <c r="AG9" s="79">
        <v>0.8</v>
      </c>
    </row>
    <row r="10" spans="1:33" x14ac:dyDescent="0.2">
      <c r="A10" s="20" t="s">
        <v>7</v>
      </c>
      <c r="B10" s="3"/>
      <c r="C10" s="3">
        <v>3.45</v>
      </c>
      <c r="D10" s="69">
        <v>0</v>
      </c>
      <c r="E10" s="3">
        <f t="shared" si="0"/>
        <v>0</v>
      </c>
      <c r="F10" s="6">
        <f t="shared" si="1"/>
        <v>0</v>
      </c>
      <c r="G10" s="6">
        <v>0</v>
      </c>
      <c r="H10" s="13">
        <v>0</v>
      </c>
      <c r="I10" s="3">
        <f t="shared" si="2"/>
        <v>0</v>
      </c>
      <c r="J10" s="6">
        <f t="shared" si="3"/>
        <v>0</v>
      </c>
      <c r="K10" s="69">
        <v>0</v>
      </c>
      <c r="L10" s="69">
        <v>0.2</v>
      </c>
      <c r="M10" s="3">
        <v>3.45</v>
      </c>
      <c r="N10" s="69">
        <v>0</v>
      </c>
      <c r="P10" s="60">
        <f t="shared" si="4"/>
        <v>0</v>
      </c>
      <c r="Q10" s="60">
        <f>D10-P10</f>
        <v>0</v>
      </c>
      <c r="R10" s="60">
        <f t="shared" si="6"/>
        <v>0</v>
      </c>
      <c r="T10">
        <f t="shared" si="5"/>
        <v>0</v>
      </c>
      <c r="U10">
        <f t="shared" si="7"/>
        <v>0</v>
      </c>
      <c r="V10" s="60">
        <f t="shared" si="8"/>
        <v>0</v>
      </c>
      <c r="X10">
        <f t="shared" si="9"/>
        <v>0</v>
      </c>
      <c r="Y10">
        <f t="shared" si="10"/>
        <v>0</v>
      </c>
      <c r="Z10">
        <f t="shared" si="11"/>
        <v>0</v>
      </c>
      <c r="AG10" s="79">
        <v>2</v>
      </c>
    </row>
    <row r="11" spans="1:33" x14ac:dyDescent="0.2">
      <c r="A11" s="13" t="s">
        <v>8</v>
      </c>
      <c r="B11" s="3"/>
      <c r="C11" s="3">
        <v>7</v>
      </c>
      <c r="D11" s="69">
        <v>8.5</v>
      </c>
      <c r="E11" s="3">
        <f t="shared" si="0"/>
        <v>7.65</v>
      </c>
      <c r="F11" s="6">
        <f t="shared" si="1"/>
        <v>5.9499999999999993</v>
      </c>
      <c r="G11" s="6">
        <v>10</v>
      </c>
      <c r="H11" s="13">
        <v>3.4</v>
      </c>
      <c r="I11" s="3">
        <f t="shared" si="2"/>
        <v>3.06</v>
      </c>
      <c r="J11" s="6">
        <f t="shared" si="3"/>
        <v>2.38</v>
      </c>
      <c r="K11" s="69">
        <v>8.5</v>
      </c>
      <c r="L11" s="69">
        <v>8.5</v>
      </c>
      <c r="M11" s="3">
        <v>7</v>
      </c>
      <c r="N11" s="69">
        <v>8.5</v>
      </c>
      <c r="P11" s="60">
        <f t="shared" si="4"/>
        <v>5.0999999999999996</v>
      </c>
      <c r="Q11" s="60">
        <f>D11-P11</f>
        <v>3.4000000000000004</v>
      </c>
      <c r="R11" s="60">
        <f t="shared" si="6"/>
        <v>8.5</v>
      </c>
      <c r="T11">
        <f t="shared" si="5"/>
        <v>1.7000000000000002</v>
      </c>
      <c r="U11">
        <f t="shared" si="7"/>
        <v>6.8000000000000007</v>
      </c>
      <c r="V11" s="60">
        <f t="shared" si="8"/>
        <v>8.5</v>
      </c>
      <c r="X11">
        <f t="shared" si="9"/>
        <v>1.19</v>
      </c>
      <c r="Y11">
        <f t="shared" si="10"/>
        <v>4.76</v>
      </c>
      <c r="Z11">
        <f t="shared" si="11"/>
        <v>5.9499999999999993</v>
      </c>
      <c r="AG11" s="79">
        <v>0.04</v>
      </c>
    </row>
    <row r="12" spans="1:33" x14ac:dyDescent="0.2">
      <c r="A12" s="82" t="s">
        <v>63</v>
      </c>
      <c r="B12" s="3"/>
      <c r="C12" s="37"/>
      <c r="D12" s="69"/>
      <c r="E12" s="3"/>
      <c r="F12" s="6"/>
      <c r="G12" s="6"/>
      <c r="H12" s="13"/>
      <c r="I12" s="3"/>
      <c r="J12" s="6"/>
      <c r="K12" s="69">
        <v>0.1</v>
      </c>
      <c r="L12" s="69">
        <v>0.3</v>
      </c>
      <c r="M12" s="37"/>
      <c r="N12" s="69"/>
      <c r="P12" s="60">
        <f t="shared" si="4"/>
        <v>0</v>
      </c>
      <c r="R12" s="60">
        <f>SUM(P12:Q12)</f>
        <v>0</v>
      </c>
      <c r="T12">
        <f t="shared" si="5"/>
        <v>0</v>
      </c>
      <c r="U12">
        <f t="shared" si="7"/>
        <v>0</v>
      </c>
      <c r="V12" s="60">
        <f t="shared" si="8"/>
        <v>0</v>
      </c>
      <c r="X12">
        <f t="shared" si="9"/>
        <v>0</v>
      </c>
      <c r="Y12">
        <f t="shared" si="10"/>
        <v>0</v>
      </c>
      <c r="Z12">
        <f t="shared" si="11"/>
        <v>0</v>
      </c>
      <c r="AF12">
        <f>2000*454</f>
        <v>908000</v>
      </c>
      <c r="AG12" s="79">
        <v>0.6</v>
      </c>
    </row>
    <row r="13" spans="1:33" x14ac:dyDescent="0.2">
      <c r="A13" s="20" t="s">
        <v>9</v>
      </c>
      <c r="B13" s="3"/>
      <c r="C13" s="7">
        <f>0.0662*65/0.21</f>
        <v>20.490476190476191</v>
      </c>
      <c r="D13" s="70">
        <v>11.5</v>
      </c>
      <c r="E13" s="3">
        <f>D13*45/50</f>
        <v>10.35</v>
      </c>
      <c r="F13" s="6">
        <f>D13*0.7</f>
        <v>8.0499999999999989</v>
      </c>
      <c r="G13" s="8">
        <v>33</v>
      </c>
      <c r="H13" s="33">
        <v>0.1</v>
      </c>
      <c r="I13" s="3">
        <f>H13*45/50</f>
        <v>0.09</v>
      </c>
      <c r="J13" s="6">
        <f>H13*0.7</f>
        <v>6.9999999999999993E-2</v>
      </c>
      <c r="K13" s="70">
        <v>0.5</v>
      </c>
      <c r="L13" s="70">
        <v>11.5</v>
      </c>
      <c r="M13" s="7">
        <v>32</v>
      </c>
      <c r="N13" s="70">
        <v>19.64</v>
      </c>
      <c r="P13" s="60">
        <f>0.6*D13</f>
        <v>6.8999999999999995</v>
      </c>
      <c r="Q13">
        <v>0.1</v>
      </c>
      <c r="R13" s="60">
        <f t="shared" si="6"/>
        <v>6.9999999999999991</v>
      </c>
      <c r="S13" s="60">
        <f>D13-R13</f>
        <v>4.5000000000000009</v>
      </c>
      <c r="T13">
        <f>D13*0.2</f>
        <v>2.3000000000000003</v>
      </c>
      <c r="U13">
        <f t="shared" si="7"/>
        <v>0.2</v>
      </c>
      <c r="V13" s="60">
        <f t="shared" si="8"/>
        <v>2.5000000000000004</v>
      </c>
      <c r="X13">
        <f t="shared" si="9"/>
        <v>1.61</v>
      </c>
      <c r="Y13">
        <f t="shared" si="10"/>
        <v>0.13999999999999999</v>
      </c>
      <c r="Z13">
        <f t="shared" si="11"/>
        <v>1.7500000000000002</v>
      </c>
      <c r="AB13" s="59">
        <v>0.185</v>
      </c>
      <c r="AC13" s="59">
        <v>0.16</v>
      </c>
      <c r="AD13" s="59">
        <v>0.21</v>
      </c>
      <c r="AG13" s="80">
        <v>0.26</v>
      </c>
    </row>
    <row r="14" spans="1:33" x14ac:dyDescent="0.2">
      <c r="A14" s="14" t="s">
        <v>10</v>
      </c>
      <c r="B14" s="1"/>
      <c r="C14" s="71">
        <f t="shared" ref="C14:J14" si="12">C17-(SUM(C5:C13))</f>
        <v>17.259523809523813</v>
      </c>
      <c r="D14" s="71">
        <f t="shared" si="12"/>
        <v>20.667000000000002</v>
      </c>
      <c r="E14" s="71">
        <f t="shared" si="12"/>
        <v>18.600299999999997</v>
      </c>
      <c r="F14" s="71">
        <f t="shared" si="12"/>
        <v>14.466900000000003</v>
      </c>
      <c r="G14" s="71">
        <f t="shared" si="12"/>
        <v>22</v>
      </c>
      <c r="H14" s="71">
        <f t="shared" si="12"/>
        <v>10.766999999999999</v>
      </c>
      <c r="I14" s="71">
        <f t="shared" si="12"/>
        <v>9.6902999999999988</v>
      </c>
      <c r="J14" s="71">
        <f t="shared" si="12"/>
        <v>7.5369000000000002</v>
      </c>
      <c r="K14" s="71">
        <f>K17-(SUM(K5:K13))</f>
        <v>27.4</v>
      </c>
      <c r="L14" s="71">
        <f>L17-(SUM(L5:L13))</f>
        <v>16.5</v>
      </c>
      <c r="M14" s="71">
        <f>M17-(SUM(M5:M13))</f>
        <v>15.75</v>
      </c>
      <c r="N14" s="71">
        <v>17.53</v>
      </c>
      <c r="P14" s="60">
        <f t="shared" si="4"/>
        <v>12.4002</v>
      </c>
      <c r="Q14" s="60">
        <f>D14+2-P14</f>
        <v>10.266800000000002</v>
      </c>
      <c r="R14" s="60">
        <f t="shared" si="6"/>
        <v>22.667000000000002</v>
      </c>
      <c r="T14">
        <f>D14*0.2</f>
        <v>4.1334000000000009</v>
      </c>
      <c r="U14">
        <f t="shared" si="7"/>
        <v>20.533600000000003</v>
      </c>
      <c r="V14" s="60">
        <f t="shared" si="8"/>
        <v>24.667000000000005</v>
      </c>
      <c r="X14">
        <f t="shared" si="9"/>
        <v>2.8933800000000005</v>
      </c>
      <c r="Y14">
        <f t="shared" si="10"/>
        <v>14.373520000000001</v>
      </c>
      <c r="Z14">
        <f t="shared" si="11"/>
        <v>17.266900000000003</v>
      </c>
      <c r="AB14" s="59">
        <v>0.38</v>
      </c>
      <c r="AC14" s="59">
        <v>0.35</v>
      </c>
      <c r="AG14" s="79">
        <v>0.03</v>
      </c>
    </row>
    <row r="15" spans="1:33" x14ac:dyDescent="0.2">
      <c r="A15" s="22" t="s">
        <v>11</v>
      </c>
      <c r="B15" s="23"/>
      <c r="C15" s="24">
        <f t="shared" ref="C15:J15" si="13">SUM(C5:C14)</f>
        <v>65</v>
      </c>
      <c r="D15" s="72">
        <f t="shared" si="13"/>
        <v>50</v>
      </c>
      <c r="E15" s="50">
        <f t="shared" si="13"/>
        <v>45</v>
      </c>
      <c r="F15" s="41">
        <f t="shared" si="13"/>
        <v>35</v>
      </c>
      <c r="G15" s="25">
        <f t="shared" si="13"/>
        <v>75</v>
      </c>
      <c r="H15" s="40">
        <f t="shared" si="13"/>
        <v>20</v>
      </c>
      <c r="I15" s="50">
        <f t="shared" si="13"/>
        <v>18</v>
      </c>
      <c r="J15" s="41">
        <f t="shared" si="13"/>
        <v>14</v>
      </c>
      <c r="K15" s="72">
        <f>SUM(K5:K14)</f>
        <v>50</v>
      </c>
      <c r="L15" s="72">
        <f>SUM(L5:L14)</f>
        <v>50</v>
      </c>
      <c r="M15" s="24">
        <f>SUM(M5:M14)</f>
        <v>75</v>
      </c>
      <c r="N15" s="72">
        <f>SUM(N5:N14)</f>
        <v>55.003</v>
      </c>
      <c r="P15" s="60">
        <f>SUM(P5:P14)</f>
        <v>30</v>
      </c>
      <c r="Q15" s="60">
        <f>SUM(Q5:Q14)</f>
        <v>19.5</v>
      </c>
      <c r="R15" s="60">
        <f>SUM(P15:Q15)</f>
        <v>49.5</v>
      </c>
      <c r="T15">
        <f>SUM(T5:T14)</f>
        <v>10</v>
      </c>
      <c r="U15">
        <f>SUM(U5:U14)</f>
        <v>39</v>
      </c>
      <c r="V15">
        <f>SUM(V5:V14)</f>
        <v>49.000000000000007</v>
      </c>
      <c r="X15">
        <f>SUM(X5:X14)</f>
        <v>7.0000000000000009</v>
      </c>
      <c r="Y15">
        <f>SUM(Y5:Y14)</f>
        <v>27.3</v>
      </c>
      <c r="Z15">
        <f>SUM(Z5:Z14)</f>
        <v>34.300000000000004</v>
      </c>
    </row>
    <row r="16" spans="1:33" x14ac:dyDescent="0.2">
      <c r="A16" s="13" t="s">
        <v>12</v>
      </c>
      <c r="B16" s="3"/>
      <c r="C16" s="7">
        <f t="shared" ref="C16:J16" si="14">C17-C15</f>
        <v>0</v>
      </c>
      <c r="D16" s="70">
        <f t="shared" si="14"/>
        <v>0</v>
      </c>
      <c r="E16" s="7">
        <f t="shared" si="14"/>
        <v>0</v>
      </c>
      <c r="F16" s="8">
        <f t="shared" si="14"/>
        <v>0</v>
      </c>
      <c r="G16" s="8">
        <f t="shared" si="14"/>
        <v>0</v>
      </c>
      <c r="H16" s="33">
        <f t="shared" si="14"/>
        <v>0</v>
      </c>
      <c r="I16" s="7">
        <f t="shared" si="14"/>
        <v>0</v>
      </c>
      <c r="J16" s="8">
        <f t="shared" si="14"/>
        <v>0</v>
      </c>
      <c r="K16" s="70">
        <f>K17-K15</f>
        <v>0</v>
      </c>
      <c r="L16" s="70">
        <f>L17-L15</f>
        <v>0</v>
      </c>
      <c r="M16" s="7">
        <f>M17-M15</f>
        <v>0</v>
      </c>
      <c r="N16" s="70">
        <f>N17-N15</f>
        <v>-3.0000000000001137E-3</v>
      </c>
      <c r="P16">
        <v>30</v>
      </c>
      <c r="Q16">
        <v>20</v>
      </c>
      <c r="T16">
        <v>10</v>
      </c>
      <c r="U16">
        <v>40</v>
      </c>
    </row>
    <row r="17" spans="1:22" x14ac:dyDescent="0.2">
      <c r="A17" s="22" t="s">
        <v>13</v>
      </c>
      <c r="B17" s="23"/>
      <c r="C17" s="23">
        <v>65</v>
      </c>
      <c r="D17" s="73">
        <v>50</v>
      </c>
      <c r="E17" s="23">
        <v>45</v>
      </c>
      <c r="F17" s="26">
        <v>35</v>
      </c>
      <c r="G17" s="26">
        <v>75</v>
      </c>
      <c r="H17" s="22">
        <v>20</v>
      </c>
      <c r="I17" s="23">
        <f>E17/D17*H17</f>
        <v>18</v>
      </c>
      <c r="J17" s="26">
        <f>F17/D17*H17</f>
        <v>14</v>
      </c>
      <c r="K17" s="73">
        <v>50</v>
      </c>
      <c r="L17" s="73">
        <v>50</v>
      </c>
      <c r="M17" s="23">
        <v>75</v>
      </c>
      <c r="N17" s="73">
        <v>55</v>
      </c>
    </row>
    <row r="18" spans="1:22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spans="1:22" x14ac:dyDescent="0.2">
      <c r="A19" s="27"/>
      <c r="B19" s="27"/>
      <c r="C19" s="27"/>
      <c r="D19" s="27"/>
      <c r="E19" s="27" t="s">
        <v>21</v>
      </c>
      <c r="F19" s="27" t="s">
        <v>21</v>
      </c>
      <c r="G19" s="27" t="s">
        <v>22</v>
      </c>
      <c r="H19" s="27"/>
      <c r="I19" s="27" t="s">
        <v>21</v>
      </c>
      <c r="J19" s="27" t="s">
        <v>21</v>
      </c>
      <c r="K19" s="27"/>
      <c r="L19" s="27"/>
      <c r="M19" s="27"/>
      <c r="N19" s="27"/>
    </row>
    <row r="20" spans="1:22" ht="27.75" customHeight="1" x14ac:dyDescent="0.2">
      <c r="A20" s="43" t="s">
        <v>14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P20" t="s">
        <v>46</v>
      </c>
    </row>
    <row r="21" spans="1:22" x14ac:dyDescent="0.2">
      <c r="A21" s="29" t="s">
        <v>15</v>
      </c>
      <c r="B21" s="4"/>
      <c r="C21" s="30">
        <f>C29/100*C25/0.185</f>
        <v>23.25945945945946</v>
      </c>
      <c r="D21" s="30">
        <f>D29*D25/0.185/100</f>
        <v>13.054054054054054</v>
      </c>
      <c r="E21" s="4">
        <f>D21*45/50</f>
        <v>11.748648648648647</v>
      </c>
      <c r="F21" s="30">
        <f>D21*0.7</f>
        <v>9.1378378378378375</v>
      </c>
      <c r="G21" s="31">
        <f>0.099*G25/0.185</f>
        <v>40.135135135135137</v>
      </c>
      <c r="H21" s="30">
        <f>H29*H25/0.185/100</f>
        <v>0.11351351351351352</v>
      </c>
      <c r="I21" s="4">
        <f>H21*45/50</f>
        <v>0.10216216216216217</v>
      </c>
      <c r="J21" s="30">
        <f>H21*0.7</f>
        <v>7.9459459459459453E-2</v>
      </c>
      <c r="K21" s="30">
        <f>K29*K25/0.185/100</f>
        <v>0.56756756756756754</v>
      </c>
      <c r="L21" s="30">
        <f>L29*L25/0.185/100</f>
        <v>13.054054054054054</v>
      </c>
      <c r="M21" s="30">
        <f>M29/100*M25/0.185</f>
        <v>36.324324324324316</v>
      </c>
      <c r="N21" s="30">
        <f>N29*N25/0.185/100</f>
        <v>22.294054054054055</v>
      </c>
      <c r="P21" t="s">
        <v>47</v>
      </c>
    </row>
    <row r="22" spans="1:22" x14ac:dyDescent="0.2">
      <c r="A22" s="21" t="s">
        <v>16</v>
      </c>
      <c r="B22" s="1"/>
      <c r="C22" s="2">
        <f>C14+C13-C21</f>
        <v>14.49054054054054</v>
      </c>
      <c r="D22" s="2">
        <f t="shared" ref="D22:L22" si="15">D14+D13-D21</f>
        <v>19.112945945945945</v>
      </c>
      <c r="E22" s="2">
        <f t="shared" si="15"/>
        <v>17.201651351351352</v>
      </c>
      <c r="F22" s="2">
        <f t="shared" si="15"/>
        <v>13.379062162162162</v>
      </c>
      <c r="G22" s="2">
        <f t="shared" si="15"/>
        <v>14.864864864864863</v>
      </c>
      <c r="H22" s="2">
        <f t="shared" si="15"/>
        <v>10.753486486486485</v>
      </c>
      <c r="I22" s="2">
        <f t="shared" si="15"/>
        <v>9.678137837837836</v>
      </c>
      <c r="J22" s="2">
        <f t="shared" si="15"/>
        <v>7.5274405405405407</v>
      </c>
      <c r="K22" s="2">
        <f t="shared" si="15"/>
        <v>27.33243243243243</v>
      </c>
      <c r="L22" s="2">
        <f t="shared" si="15"/>
        <v>14.945945945945946</v>
      </c>
      <c r="M22" s="2">
        <f>M14+M13-M21</f>
        <v>11.425675675675684</v>
      </c>
      <c r="N22" s="2">
        <f>N14+N13-N21</f>
        <v>14.875945945945947</v>
      </c>
      <c r="P22" t="s">
        <v>48</v>
      </c>
    </row>
    <row r="23" spans="1:22" x14ac:dyDescent="0.2">
      <c r="A23" s="22" t="s">
        <v>11</v>
      </c>
      <c r="B23" s="23"/>
      <c r="C23" s="28">
        <f t="shared" ref="C23:J23" si="16">SUM(C5:C12)+C21+C22</f>
        <v>65</v>
      </c>
      <c r="D23" s="28">
        <f t="shared" si="16"/>
        <v>50</v>
      </c>
      <c r="E23" s="28">
        <f t="shared" si="16"/>
        <v>45</v>
      </c>
      <c r="F23" s="28">
        <f t="shared" si="16"/>
        <v>35</v>
      </c>
      <c r="G23" s="28">
        <f t="shared" si="16"/>
        <v>75</v>
      </c>
      <c r="H23" s="28">
        <f t="shared" si="16"/>
        <v>20</v>
      </c>
      <c r="I23" s="28">
        <f t="shared" si="16"/>
        <v>18</v>
      </c>
      <c r="J23" s="28">
        <f t="shared" si="16"/>
        <v>14</v>
      </c>
      <c r="K23" s="28">
        <f>SUM(K5:K12)+K21+K22</f>
        <v>50</v>
      </c>
      <c r="L23" s="28">
        <f>SUM(L5:L12)+L21+L22</f>
        <v>50</v>
      </c>
      <c r="M23" s="28">
        <f>SUM(M5:M12)+M21+M22</f>
        <v>75</v>
      </c>
      <c r="N23" s="28">
        <f>SUM(N5:N12)+N21+N22</f>
        <v>55.003</v>
      </c>
      <c r="P23" t="s">
        <v>49</v>
      </c>
    </row>
    <row r="24" spans="1:22" x14ac:dyDescent="0.2">
      <c r="A24" s="13" t="s">
        <v>12</v>
      </c>
      <c r="B24" s="3"/>
      <c r="C24" s="7">
        <f t="shared" ref="C24:J24" si="17">C25-C23</f>
        <v>0</v>
      </c>
      <c r="D24" s="7">
        <f t="shared" si="17"/>
        <v>0</v>
      </c>
      <c r="E24" s="7">
        <f t="shared" si="17"/>
        <v>0</v>
      </c>
      <c r="F24" s="7">
        <f t="shared" si="17"/>
        <v>0</v>
      </c>
      <c r="G24" s="8">
        <f t="shared" si="17"/>
        <v>0</v>
      </c>
      <c r="H24" s="7">
        <f t="shared" si="17"/>
        <v>0</v>
      </c>
      <c r="I24" s="7">
        <f t="shared" si="17"/>
        <v>0</v>
      </c>
      <c r="J24" s="7">
        <f t="shared" si="17"/>
        <v>0</v>
      </c>
      <c r="K24" s="7">
        <f>K25-K23</f>
        <v>0</v>
      </c>
      <c r="L24" s="7">
        <f>L25-L23</f>
        <v>0</v>
      </c>
      <c r="M24" s="7">
        <f>M25-M23</f>
        <v>0</v>
      </c>
      <c r="N24" s="7">
        <f>N25-N23</f>
        <v>-3.0000000000001137E-3</v>
      </c>
      <c r="P24" t="s">
        <v>50</v>
      </c>
    </row>
    <row r="25" spans="1:22" x14ac:dyDescent="0.2">
      <c r="A25" s="22" t="s">
        <v>13</v>
      </c>
      <c r="B25" s="23"/>
      <c r="C25" s="23">
        <v>65</v>
      </c>
      <c r="D25" s="23">
        <v>50</v>
      </c>
      <c r="E25" s="23">
        <v>45</v>
      </c>
      <c r="F25" s="23">
        <v>35</v>
      </c>
      <c r="G25" s="26">
        <v>75</v>
      </c>
      <c r="H25" s="23">
        <v>20</v>
      </c>
      <c r="I25" s="23">
        <v>18</v>
      </c>
      <c r="J25" s="23">
        <v>14</v>
      </c>
      <c r="K25" s="23">
        <v>50</v>
      </c>
      <c r="L25" s="23">
        <v>50</v>
      </c>
      <c r="M25" s="23">
        <v>75</v>
      </c>
      <c r="N25" s="23">
        <v>55</v>
      </c>
      <c r="P25" t="s">
        <v>51</v>
      </c>
    </row>
    <row r="26" spans="1:22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P26" t="s">
        <v>52</v>
      </c>
    </row>
    <row r="27" spans="1:22" x14ac:dyDescent="0.2">
      <c r="A27" s="27" t="s">
        <v>33</v>
      </c>
      <c r="B27" s="27"/>
      <c r="C27" s="57">
        <f t="shared" ref="C27:J27" si="18">(SUMPRODUCT(C5:C14,$AB$5:$AB$14))/C17*100</f>
        <v>18.494395604395606</v>
      </c>
      <c r="D27" s="57">
        <f t="shared" si="18"/>
        <v>22.393920000000001</v>
      </c>
      <c r="E27" s="57">
        <f t="shared" si="18"/>
        <v>22.393919999999998</v>
      </c>
      <c r="F27" s="57">
        <f t="shared" si="18"/>
        <v>22.393920000000005</v>
      </c>
      <c r="G27" s="57">
        <f t="shared" si="18"/>
        <v>21.313333333333333</v>
      </c>
      <c r="H27" s="57">
        <f t="shared" si="18"/>
        <v>22.9818</v>
      </c>
      <c r="I27" s="57">
        <f t="shared" si="18"/>
        <v>22.981799999999996</v>
      </c>
      <c r="J27" s="57">
        <f t="shared" si="18"/>
        <v>22.981800000000003</v>
      </c>
      <c r="K27" s="57">
        <f>(SUMPRODUCT(K5:K14,$AB$5:$AB$14))/K17*100</f>
        <v>23.440999999999999</v>
      </c>
      <c r="L27" s="57">
        <f>(SUMPRODUCT(L5:L14,$AB$5:$AB$14))/L17*100</f>
        <v>19.227</v>
      </c>
      <c r="M27" s="57">
        <f>(SUMPRODUCT(M5:M14,$AB$5:$AB$14))/M17*100</f>
        <v>18.102666666666668</v>
      </c>
      <c r="N27" s="57">
        <f>(SUMPRODUCT(N5:N14,$AB$5:$AB$14))/N17*100</f>
        <v>20.928727272727272</v>
      </c>
      <c r="O27" s="57"/>
    </row>
    <row r="28" spans="1:22" x14ac:dyDescent="0.2">
      <c r="A28" s="27" t="s">
        <v>34</v>
      </c>
      <c r="B28" s="27"/>
      <c r="C28" s="57">
        <f t="shared" ref="C28:J28" si="19">(SUMPRODUCT(C5:C14,$AC$5:$AC$14))/C17*100</f>
        <v>14.33739926739927</v>
      </c>
      <c r="D28" s="57">
        <f t="shared" si="19"/>
        <v>18.146900000000002</v>
      </c>
      <c r="E28" s="57">
        <f t="shared" si="19"/>
        <v>18.146899999999995</v>
      </c>
      <c r="F28" s="57">
        <f t="shared" si="19"/>
        <v>18.146900000000002</v>
      </c>
      <c r="G28" s="57">
        <f t="shared" si="19"/>
        <v>17.306666666666668</v>
      </c>
      <c r="H28" s="57">
        <f t="shared" si="19"/>
        <v>18.922249999999998</v>
      </c>
      <c r="I28" s="57">
        <f t="shared" si="19"/>
        <v>18.922249999999995</v>
      </c>
      <c r="J28" s="57">
        <f t="shared" si="19"/>
        <v>18.922250000000002</v>
      </c>
      <c r="K28" s="57">
        <f>(SUMPRODUCT(K5:K14,$AC$5:$AC$14))/K17*100</f>
        <v>19.339999999999996</v>
      </c>
      <c r="L28" s="57">
        <f>(SUMPRODUCT(L5:L14,$AC$5:$AC$14))/L17*100</f>
        <v>15.229999999999999</v>
      </c>
      <c r="M28" s="57">
        <f>(SUMPRODUCT(M5:M14,$AC$5:$AC$14))/M17*100</f>
        <v>14.176666666666668</v>
      </c>
      <c r="N28" s="57">
        <f>(SUMPRODUCT(N5:N14,$AC$5:$AC$14))/N17*100</f>
        <v>16.868909090909092</v>
      </c>
      <c r="O28" s="57"/>
    </row>
    <row r="29" spans="1:22" ht="13.5" thickBot="1" x14ac:dyDescent="0.25">
      <c r="A29" s="27" t="s">
        <v>35</v>
      </c>
      <c r="B29" s="27"/>
      <c r="C29" s="58">
        <f t="shared" ref="C29:J29" si="20">(SUMPRODUCT(C5:C14,$AD$5:$AD$14))/C17*100</f>
        <v>6.6199999999999992</v>
      </c>
      <c r="D29" s="58">
        <f t="shared" si="20"/>
        <v>4.83</v>
      </c>
      <c r="E29" s="58">
        <f t="shared" si="20"/>
        <v>4.8299999999999992</v>
      </c>
      <c r="F29" s="58">
        <f t="shared" si="20"/>
        <v>4.8299999999999992</v>
      </c>
      <c r="G29" s="58">
        <f t="shared" si="20"/>
        <v>9.24</v>
      </c>
      <c r="H29" s="58">
        <f t="shared" si="20"/>
        <v>0.10500000000000001</v>
      </c>
      <c r="I29" s="58">
        <f t="shared" si="20"/>
        <v>0.105</v>
      </c>
      <c r="J29" s="58">
        <f t="shared" si="20"/>
        <v>0.105</v>
      </c>
      <c r="K29" s="58">
        <f>(SUMPRODUCT(K5:K14,$AD$5:$AD$14))/K17*100</f>
        <v>0.21</v>
      </c>
      <c r="L29" s="58">
        <f>(SUMPRODUCT(L5:L14,$AD$5:$AD$14))/L17*100</f>
        <v>4.83</v>
      </c>
      <c r="M29" s="58">
        <f>(SUMPRODUCT(M5:M14,$AD$5:$AD$14))/M17*100</f>
        <v>8.9599999999999991</v>
      </c>
      <c r="N29" s="58">
        <f>(SUMPRODUCT(N5:N14,$AD$5:$AD$14))/N17*100</f>
        <v>7.4989090909090912</v>
      </c>
      <c r="O29" s="58"/>
    </row>
    <row r="30" spans="1:22" ht="15.75" thickBot="1" x14ac:dyDescent="0.25">
      <c r="A30" s="27" t="s">
        <v>36</v>
      </c>
      <c r="B30" s="27"/>
      <c r="C30" s="57">
        <f t="shared" ref="C30:J30" si="21">(SUMPRODUCT(C5:C14,$AE$5:$AE$14))/C17*100</f>
        <v>7.2553846153846164</v>
      </c>
      <c r="D30" s="57">
        <f t="shared" si="21"/>
        <v>5.2394760000000007</v>
      </c>
      <c r="E30" s="57">
        <f t="shared" si="21"/>
        <v>5.2394759999999998</v>
      </c>
      <c r="F30" s="57">
        <f t="shared" si="21"/>
        <v>5.2394759999999998</v>
      </c>
      <c r="G30" s="57">
        <f t="shared" si="21"/>
        <v>0</v>
      </c>
      <c r="H30" s="57">
        <f t="shared" si="21"/>
        <v>13.098690000000001</v>
      </c>
      <c r="I30" s="57">
        <f t="shared" si="21"/>
        <v>13.098690000000001</v>
      </c>
      <c r="J30" s="57">
        <f t="shared" si="21"/>
        <v>13.09869</v>
      </c>
      <c r="K30" s="57">
        <f>(SUMPRODUCT(K5:K14,$AE$5:$AE$14))/K17*100</f>
        <v>11.790000000000001</v>
      </c>
      <c r="L30" s="57">
        <f>(SUMPRODUCT(L5:L14,$AE$5:$AE$14))/L17*100</f>
        <v>9.4320000000000004</v>
      </c>
      <c r="M30" s="57">
        <f>(SUMPRODUCT(M5:M14,$AE$5:$AE$14))/M17*100</f>
        <v>6.2880000000000003</v>
      </c>
      <c r="N30" s="57">
        <f>(SUMPRODUCT(N5:N14,$AE$5:$AE$14))/N17*100</f>
        <v>4.7631600000000001</v>
      </c>
      <c r="O30" s="27"/>
      <c r="R30" s="61">
        <v>50</v>
      </c>
      <c r="S30" s="62">
        <v>45</v>
      </c>
      <c r="T30" s="62">
        <v>40</v>
      </c>
      <c r="U30" s="62">
        <v>35</v>
      </c>
      <c r="V30" s="62">
        <v>30</v>
      </c>
    </row>
    <row r="31" spans="1:22" ht="15" x14ac:dyDescent="0.2">
      <c r="A31" s="27" t="s">
        <v>37</v>
      </c>
      <c r="B31" s="27"/>
      <c r="C31" s="57">
        <f>C8*0.99/C17*100</f>
        <v>4.264615384615384</v>
      </c>
      <c r="D31" s="27"/>
      <c r="E31" s="27"/>
      <c r="F31" s="27"/>
      <c r="G31" s="27"/>
      <c r="H31" s="27"/>
      <c r="I31" s="27"/>
      <c r="J31" s="27"/>
      <c r="K31" s="57">
        <f>K8*0.99/K17*100</f>
        <v>0</v>
      </c>
      <c r="L31" s="57">
        <f>L8*0.99/L17*100</f>
        <v>1.9799999999999998</v>
      </c>
      <c r="M31" s="57">
        <f>M8*0.99/M17*100</f>
        <v>3.6960000000000002</v>
      </c>
      <c r="N31" s="57">
        <f>N8*0.99/N17*100</f>
        <v>0</v>
      </c>
      <c r="O31" s="27"/>
      <c r="Q31" s="64">
        <v>0.05</v>
      </c>
      <c r="R31" s="63">
        <f>R30*0.8</f>
        <v>40</v>
      </c>
      <c r="S31" s="63">
        <f>S30*0.8</f>
        <v>36</v>
      </c>
      <c r="T31" s="63">
        <f>T30*0.8</f>
        <v>32</v>
      </c>
      <c r="U31" s="63">
        <f>U30*0.8</f>
        <v>28</v>
      </c>
      <c r="V31" s="63">
        <f>V30*0.8</f>
        <v>24</v>
      </c>
    </row>
    <row r="32" spans="1:22" ht="15" x14ac:dyDescent="0.2">
      <c r="A32" s="27" t="s">
        <v>38</v>
      </c>
      <c r="B32" s="27"/>
      <c r="C32" s="57">
        <f>C10*0.981/C17*100</f>
        <v>5.2068461538461541</v>
      </c>
      <c r="D32" s="57"/>
      <c r="E32" s="27"/>
      <c r="F32" s="27"/>
      <c r="G32" s="27"/>
      <c r="H32" s="27"/>
      <c r="I32" s="27"/>
      <c r="J32" s="27"/>
      <c r="K32" s="57">
        <f>K10*0.981/K17*100</f>
        <v>0</v>
      </c>
      <c r="L32" s="27"/>
      <c r="M32" s="57">
        <f>M10*0.981/M17*100</f>
        <v>4.5125999999999999</v>
      </c>
      <c r="N32" s="27"/>
      <c r="O32" s="27"/>
      <c r="R32" s="63">
        <f>R30-R31</f>
        <v>10</v>
      </c>
      <c r="S32" s="63">
        <f>S30-S31</f>
        <v>9</v>
      </c>
      <c r="T32" s="63">
        <f>T30-T31</f>
        <v>8</v>
      </c>
      <c r="U32" s="63">
        <f>U30-U31</f>
        <v>7</v>
      </c>
      <c r="V32" s="63">
        <f>V30-V31</f>
        <v>6</v>
      </c>
    </row>
    <row r="33" spans="1:22" x14ac:dyDescent="0.2">
      <c r="A33" s="78" t="s">
        <v>55</v>
      </c>
      <c r="B33" s="27"/>
      <c r="C33" s="84">
        <f>(SUMPRODUCT(C5:C14,$AF$5:$AF$14))/C17</f>
        <v>46057.538461538461</v>
      </c>
      <c r="D33" s="84">
        <f>(SUMPRODUCT(D5:D14,$AF$5:$AF$14))/D17</f>
        <v>35924.879999999997</v>
      </c>
      <c r="E33" s="84">
        <f t="shared" ref="E33:G33" si="22">(SUMPRODUCT(E5:E14,$AF$5:$AF$14))/E17</f>
        <v>35924.880000000005</v>
      </c>
      <c r="F33" s="84">
        <f t="shared" si="22"/>
        <v>35924.879999999997</v>
      </c>
      <c r="G33" s="84">
        <f t="shared" si="22"/>
        <v>23949.866666666665</v>
      </c>
      <c r="H33" s="84"/>
      <c r="I33" s="84"/>
      <c r="J33" s="84"/>
      <c r="K33" s="84">
        <f>(SUMPRODUCT(K5:K14,$AF$5:$AF$14))/K17</f>
        <v>37740.879999999997</v>
      </c>
      <c r="L33" s="58">
        <f>(SUMPRODUCT(L5:L14,$AF$5:$AF$14))/L17</f>
        <v>41372.879999999997</v>
      </c>
      <c r="M33" s="27"/>
      <c r="N33" s="58">
        <f>(SUMPRODUCT(N5:N14,$AF$5:$AF$14))/N17</f>
        <v>32658.981818181819</v>
      </c>
      <c r="Q33" s="64">
        <v>0.1</v>
      </c>
      <c r="R33">
        <f>R30*0.6</f>
        <v>30</v>
      </c>
      <c r="S33">
        <f>S30*0.6</f>
        <v>27</v>
      </c>
      <c r="T33">
        <f>T30*0.6</f>
        <v>24</v>
      </c>
      <c r="U33">
        <f>U30*0.6</f>
        <v>21</v>
      </c>
      <c r="V33">
        <f>V30*0.6</f>
        <v>18</v>
      </c>
    </row>
    <row r="34" spans="1:22" x14ac:dyDescent="0.2">
      <c r="A34" s="27" t="s">
        <v>60</v>
      </c>
      <c r="B34" s="27"/>
      <c r="C34" s="81">
        <f t="shared" ref="C34:K34" si="23">(SUMPRODUCT(C5:C14,$AG$5:$AG$14))/C17</f>
        <v>0.41823553113553125</v>
      </c>
      <c r="D34" s="81">
        <f t="shared" si="23"/>
        <v>0.21632820000000003</v>
      </c>
      <c r="E34" s="81">
        <f t="shared" si="23"/>
        <v>0.21632820000000003</v>
      </c>
      <c r="F34" s="81">
        <f t="shared" si="23"/>
        <v>0.2163282</v>
      </c>
      <c r="G34" s="81">
        <f t="shared" si="23"/>
        <v>0.2752</v>
      </c>
      <c r="H34" s="81">
        <f t="shared" si="23"/>
        <v>0.24157050000000005</v>
      </c>
      <c r="I34" s="81">
        <f t="shared" si="23"/>
        <v>0.24157050000000002</v>
      </c>
      <c r="J34" s="81">
        <f t="shared" si="23"/>
        <v>0.24157050000000005</v>
      </c>
      <c r="K34" s="81">
        <f t="shared" si="23"/>
        <v>0.23104</v>
      </c>
      <c r="L34" s="81">
        <f>(SUMPRODUCT(L5:L14,$AG$5:$AG$14))/L17</f>
        <v>0.29210000000000003</v>
      </c>
      <c r="M34" s="81">
        <f>(SUMPRODUCT(M5:M14,$AG$5:$AG$14))/M17</f>
        <v>0.40176666666666672</v>
      </c>
      <c r="N34" s="81">
        <f>(SUMPRODUCT(N5:N14,$AG$5:$AG$14))/N17</f>
        <v>0.23343090909090911</v>
      </c>
      <c r="R34">
        <f>R30-R33</f>
        <v>20</v>
      </c>
      <c r="S34">
        <f>S30-S33</f>
        <v>18</v>
      </c>
      <c r="T34">
        <f>T30-T33</f>
        <v>16</v>
      </c>
      <c r="U34">
        <f>U30-U33</f>
        <v>14</v>
      </c>
      <c r="V34">
        <f>V30-V33</f>
        <v>12</v>
      </c>
    </row>
    <row r="35" spans="1:22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Q35" s="64">
        <v>0.2</v>
      </c>
      <c r="R35">
        <f>R30*0.2</f>
        <v>10</v>
      </c>
      <c r="S35">
        <f>S30*0.2</f>
        <v>9</v>
      </c>
      <c r="T35">
        <f>T30*0.2</f>
        <v>8</v>
      </c>
      <c r="U35">
        <f>U30*0.2</f>
        <v>7</v>
      </c>
      <c r="V35">
        <f>V30*0.2</f>
        <v>6</v>
      </c>
    </row>
    <row r="36" spans="1:22" x14ac:dyDescent="0.2">
      <c r="A36" s="32" t="s">
        <v>17</v>
      </c>
      <c r="R36">
        <f>R30-R35</f>
        <v>40</v>
      </c>
      <c r="S36">
        <f>S30-S35</f>
        <v>36</v>
      </c>
      <c r="T36">
        <f>T30-T35</f>
        <v>32</v>
      </c>
      <c r="U36">
        <f>U30-U35</f>
        <v>28</v>
      </c>
      <c r="V36">
        <f>V30-V35</f>
        <v>24</v>
      </c>
    </row>
    <row r="37" spans="1:22" x14ac:dyDescent="0.2">
      <c r="A37" s="16" t="s">
        <v>0</v>
      </c>
      <c r="B37" s="17"/>
      <c r="C37" s="18" t="s">
        <v>1</v>
      </c>
      <c r="D37" s="18" t="s">
        <v>2</v>
      </c>
      <c r="E37" s="18" t="s">
        <v>3</v>
      </c>
      <c r="F37" s="18" t="s">
        <v>3</v>
      </c>
      <c r="G37" s="19" t="s">
        <v>4</v>
      </c>
      <c r="H37" s="18" t="s">
        <v>2</v>
      </c>
      <c r="I37" s="18" t="s">
        <v>3</v>
      </c>
      <c r="J37" s="18" t="s">
        <v>3</v>
      </c>
      <c r="K37" s="18" t="s">
        <v>2</v>
      </c>
      <c r="L37" s="18" t="s">
        <v>2</v>
      </c>
      <c r="M37" s="18" t="s">
        <v>1</v>
      </c>
      <c r="N37" s="18" t="s">
        <v>2</v>
      </c>
    </row>
    <row r="38" spans="1:22" x14ac:dyDescent="0.2">
      <c r="A38" s="9" t="str">
        <f t="shared" ref="A38:A47" si="24">A5</f>
        <v>Vitamin premix with phytase (except in product 7 and 8)</v>
      </c>
      <c r="B38" s="4"/>
      <c r="C38" s="45">
        <f t="shared" ref="C38:G47" si="25">C5/C$17*2000</f>
        <v>153.84615384615387</v>
      </c>
      <c r="D38" s="45">
        <f t="shared" si="25"/>
        <v>120</v>
      </c>
      <c r="E38" s="45">
        <f t="shared" si="25"/>
        <v>120.00000000000001</v>
      </c>
      <c r="F38" s="45">
        <f t="shared" si="25"/>
        <v>119.99999999999999</v>
      </c>
      <c r="G38" s="42">
        <f t="shared" si="25"/>
        <v>0</v>
      </c>
      <c r="H38" s="45">
        <f t="shared" ref="H38:K47" si="26">H5/H$17*2000</f>
        <v>120</v>
      </c>
      <c r="I38" s="45">
        <f t="shared" si="26"/>
        <v>120.00000000000001</v>
      </c>
      <c r="J38" s="45">
        <f t="shared" si="26"/>
        <v>120</v>
      </c>
      <c r="K38" s="45">
        <f t="shared" si="26"/>
        <v>120</v>
      </c>
      <c r="L38" s="45">
        <f t="shared" ref="L38:N47" si="27">L5/L$17*2000</f>
        <v>120</v>
      </c>
      <c r="M38" s="45">
        <f t="shared" si="27"/>
        <v>133.33333333333334</v>
      </c>
      <c r="N38" s="45">
        <f t="shared" si="27"/>
        <v>109.09090909090908</v>
      </c>
    </row>
    <row r="39" spans="1:22" x14ac:dyDescent="0.2">
      <c r="A39" s="13" t="str">
        <f t="shared" si="24"/>
        <v>Trace mineral premix</v>
      </c>
      <c r="B39" s="3"/>
      <c r="C39" s="5">
        <f t="shared" si="25"/>
        <v>92.307692307692307</v>
      </c>
      <c r="D39" s="5">
        <f t="shared" si="25"/>
        <v>120</v>
      </c>
      <c r="E39" s="5">
        <f t="shared" si="25"/>
        <v>120.00000000000001</v>
      </c>
      <c r="F39" s="5">
        <f t="shared" si="25"/>
        <v>119.99999999999999</v>
      </c>
      <c r="G39" s="11">
        <f t="shared" si="25"/>
        <v>0</v>
      </c>
      <c r="H39" s="5">
        <f t="shared" si="26"/>
        <v>120</v>
      </c>
      <c r="I39" s="5">
        <f t="shared" si="26"/>
        <v>120.00000000000001</v>
      </c>
      <c r="J39" s="5">
        <f t="shared" si="26"/>
        <v>120</v>
      </c>
      <c r="K39" s="5">
        <f t="shared" si="26"/>
        <v>120</v>
      </c>
      <c r="L39" s="5">
        <f t="shared" si="27"/>
        <v>120</v>
      </c>
      <c r="M39" s="5">
        <f t="shared" si="27"/>
        <v>80</v>
      </c>
      <c r="N39" s="5">
        <f t="shared" si="27"/>
        <v>109.09090909090908</v>
      </c>
    </row>
    <row r="40" spans="1:22" x14ac:dyDescent="0.2">
      <c r="A40" s="13" t="str">
        <f t="shared" si="24"/>
        <v>Sow VTM</v>
      </c>
      <c r="B40" s="3"/>
      <c r="C40" s="5">
        <f t="shared" si="25"/>
        <v>0</v>
      </c>
      <c r="D40" s="5">
        <f t="shared" si="25"/>
        <v>0</v>
      </c>
      <c r="E40" s="5">
        <f t="shared" si="25"/>
        <v>0</v>
      </c>
      <c r="F40" s="5">
        <f t="shared" si="25"/>
        <v>0</v>
      </c>
      <c r="G40" s="11">
        <f t="shared" si="25"/>
        <v>266.66666666666669</v>
      </c>
      <c r="H40" s="5">
        <f t="shared" si="26"/>
        <v>0</v>
      </c>
      <c r="I40" s="5">
        <f t="shared" si="26"/>
        <v>0</v>
      </c>
      <c r="J40" s="5">
        <f t="shared" si="26"/>
        <v>0</v>
      </c>
      <c r="K40" s="5">
        <f t="shared" si="26"/>
        <v>0</v>
      </c>
      <c r="L40" s="5">
        <f t="shared" si="27"/>
        <v>0</v>
      </c>
      <c r="M40" s="5">
        <f t="shared" si="27"/>
        <v>0</v>
      </c>
      <c r="N40" s="5">
        <f t="shared" si="27"/>
        <v>0</v>
      </c>
    </row>
    <row r="41" spans="1:22" x14ac:dyDescent="0.2">
      <c r="A41" s="13" t="str">
        <f t="shared" si="24"/>
        <v>L-threonine</v>
      </c>
      <c r="B41" s="3"/>
      <c r="C41" s="5">
        <f t="shared" si="25"/>
        <v>86.153846153846146</v>
      </c>
      <c r="D41" s="5">
        <f t="shared" si="25"/>
        <v>0</v>
      </c>
      <c r="E41" s="5">
        <f t="shared" si="25"/>
        <v>0</v>
      </c>
      <c r="F41" s="5">
        <f t="shared" si="25"/>
        <v>0</v>
      </c>
      <c r="G41" s="11">
        <f t="shared" si="25"/>
        <v>0</v>
      </c>
      <c r="H41" s="5">
        <f t="shared" si="26"/>
        <v>0</v>
      </c>
      <c r="I41" s="5">
        <f t="shared" si="26"/>
        <v>0</v>
      </c>
      <c r="J41" s="5">
        <f t="shared" si="26"/>
        <v>0</v>
      </c>
      <c r="K41" s="5">
        <f t="shared" si="26"/>
        <v>0</v>
      </c>
      <c r="L41" s="5">
        <f t="shared" si="27"/>
        <v>40</v>
      </c>
      <c r="M41" s="5">
        <f t="shared" si="27"/>
        <v>74.666666666666657</v>
      </c>
      <c r="N41" s="5">
        <f t="shared" si="27"/>
        <v>0</v>
      </c>
    </row>
    <row r="42" spans="1:22" x14ac:dyDescent="0.2">
      <c r="A42" s="13" t="str">
        <f t="shared" si="24"/>
        <v>L-lysine HCl</v>
      </c>
      <c r="B42" s="3"/>
      <c r="C42" s="5">
        <f t="shared" si="25"/>
        <v>184.61538461538461</v>
      </c>
      <c r="D42" s="5">
        <f t="shared" si="25"/>
        <v>133.32</v>
      </c>
      <c r="E42" s="5">
        <f t="shared" si="25"/>
        <v>133.32000000000002</v>
      </c>
      <c r="F42" s="5">
        <f t="shared" si="25"/>
        <v>133.32</v>
      </c>
      <c r="G42" s="11">
        <f t="shared" si="25"/>
        <v>0</v>
      </c>
      <c r="H42" s="5">
        <f t="shared" si="26"/>
        <v>333.30000000000007</v>
      </c>
      <c r="I42" s="5">
        <f t="shared" si="26"/>
        <v>333.30000000000007</v>
      </c>
      <c r="J42" s="5">
        <f t="shared" si="26"/>
        <v>333.3</v>
      </c>
      <c r="K42" s="5">
        <f t="shared" si="26"/>
        <v>300</v>
      </c>
      <c r="L42" s="5">
        <f t="shared" si="27"/>
        <v>240</v>
      </c>
      <c r="M42" s="5">
        <f t="shared" si="27"/>
        <v>160</v>
      </c>
      <c r="N42" s="5">
        <f t="shared" si="27"/>
        <v>121.2</v>
      </c>
    </row>
    <row r="43" spans="1:22" x14ac:dyDescent="0.2">
      <c r="A43" s="13" t="str">
        <f t="shared" si="24"/>
        <v>DL-Methionine</v>
      </c>
      <c r="B43" s="3"/>
      <c r="C43" s="5">
        <f t="shared" si="25"/>
        <v>106.15384615384616</v>
      </c>
      <c r="D43" s="5">
        <f t="shared" si="25"/>
        <v>0</v>
      </c>
      <c r="E43" s="5">
        <f t="shared" si="25"/>
        <v>0</v>
      </c>
      <c r="F43" s="5">
        <f t="shared" si="25"/>
        <v>0</v>
      </c>
      <c r="G43" s="11">
        <f t="shared" si="25"/>
        <v>0</v>
      </c>
      <c r="H43" s="5">
        <f t="shared" si="26"/>
        <v>0</v>
      </c>
      <c r="I43" s="5">
        <f t="shared" si="26"/>
        <v>0</v>
      </c>
      <c r="J43" s="5">
        <f t="shared" si="26"/>
        <v>0</v>
      </c>
      <c r="K43" s="5">
        <f t="shared" si="26"/>
        <v>0</v>
      </c>
      <c r="L43" s="5">
        <f t="shared" si="27"/>
        <v>8</v>
      </c>
      <c r="M43" s="5">
        <f t="shared" si="27"/>
        <v>92</v>
      </c>
      <c r="N43" s="5">
        <f t="shared" si="27"/>
        <v>0</v>
      </c>
    </row>
    <row r="44" spans="1:22" x14ac:dyDescent="0.2">
      <c r="A44" s="13" t="str">
        <f t="shared" si="24"/>
        <v>Salt</v>
      </c>
      <c r="B44" s="3"/>
      <c r="C44" s="5">
        <f t="shared" si="25"/>
        <v>215.38461538461539</v>
      </c>
      <c r="D44" s="5">
        <f t="shared" si="25"/>
        <v>340</v>
      </c>
      <c r="E44" s="5">
        <f t="shared" si="25"/>
        <v>340</v>
      </c>
      <c r="F44" s="5">
        <f t="shared" si="25"/>
        <v>339.99999999999994</v>
      </c>
      <c r="G44" s="11">
        <f t="shared" si="25"/>
        <v>266.66666666666669</v>
      </c>
      <c r="H44" s="5">
        <f t="shared" si="26"/>
        <v>339.99999999999994</v>
      </c>
      <c r="I44" s="5">
        <f t="shared" si="26"/>
        <v>340</v>
      </c>
      <c r="J44" s="5">
        <f t="shared" si="26"/>
        <v>339.99999999999994</v>
      </c>
      <c r="K44" s="5">
        <f t="shared" si="26"/>
        <v>340</v>
      </c>
      <c r="L44" s="5">
        <f t="shared" si="27"/>
        <v>340</v>
      </c>
      <c r="M44" s="5">
        <f t="shared" si="27"/>
        <v>186.66666666666669</v>
      </c>
      <c r="N44" s="5">
        <f t="shared" si="27"/>
        <v>309.09090909090907</v>
      </c>
    </row>
    <row r="45" spans="1:22" x14ac:dyDescent="0.2">
      <c r="A45" s="13" t="str">
        <f t="shared" si="24"/>
        <v>Phytase 2000 FTU product</v>
      </c>
      <c r="B45" s="3"/>
      <c r="C45" s="5">
        <f t="shared" si="25"/>
        <v>0</v>
      </c>
      <c r="D45" s="5">
        <f t="shared" si="25"/>
        <v>0</v>
      </c>
      <c r="E45" s="5">
        <f t="shared" si="25"/>
        <v>0</v>
      </c>
      <c r="F45" s="5">
        <f t="shared" si="25"/>
        <v>0</v>
      </c>
      <c r="G45" s="11">
        <f t="shared" si="25"/>
        <v>0</v>
      </c>
      <c r="H45" s="5">
        <f t="shared" si="26"/>
        <v>0</v>
      </c>
      <c r="I45" s="5">
        <f t="shared" si="26"/>
        <v>0</v>
      </c>
      <c r="J45" s="5">
        <f t="shared" si="26"/>
        <v>0</v>
      </c>
      <c r="K45" s="5">
        <f t="shared" si="26"/>
        <v>4</v>
      </c>
      <c r="L45" s="5">
        <f t="shared" si="27"/>
        <v>12</v>
      </c>
      <c r="M45" s="5">
        <f t="shared" si="27"/>
        <v>0</v>
      </c>
      <c r="N45" s="5">
        <f t="shared" si="27"/>
        <v>0</v>
      </c>
    </row>
    <row r="46" spans="1:22" x14ac:dyDescent="0.2">
      <c r="A46" s="13" t="str">
        <f t="shared" si="24"/>
        <v>Monocalcium phosphate (21% P)</v>
      </c>
      <c r="B46" s="3"/>
      <c r="C46" s="5">
        <f t="shared" si="25"/>
        <v>630.47619047619048</v>
      </c>
      <c r="D46" s="5">
        <f t="shared" si="25"/>
        <v>460</v>
      </c>
      <c r="E46" s="5">
        <f t="shared" si="25"/>
        <v>459.99999999999994</v>
      </c>
      <c r="F46" s="5">
        <f t="shared" si="25"/>
        <v>459.99999999999994</v>
      </c>
      <c r="G46" s="11">
        <f t="shared" si="25"/>
        <v>880</v>
      </c>
      <c r="H46" s="5">
        <f t="shared" si="26"/>
        <v>10</v>
      </c>
      <c r="I46" s="5">
        <f t="shared" si="26"/>
        <v>10</v>
      </c>
      <c r="J46" s="5">
        <f t="shared" si="26"/>
        <v>9.9999999999999982</v>
      </c>
      <c r="K46" s="5">
        <f t="shared" si="26"/>
        <v>20</v>
      </c>
      <c r="L46" s="5">
        <f t="shared" si="27"/>
        <v>460</v>
      </c>
      <c r="M46" s="5">
        <f t="shared" si="27"/>
        <v>853.33333333333337</v>
      </c>
      <c r="N46" s="5">
        <f t="shared" si="27"/>
        <v>714.18181818181824</v>
      </c>
    </row>
    <row r="47" spans="1:22" x14ac:dyDescent="0.2">
      <c r="A47" s="13" t="str">
        <f t="shared" si="24"/>
        <v>Calcium carbonate</v>
      </c>
      <c r="B47" s="3"/>
      <c r="C47" s="5">
        <f t="shared" si="25"/>
        <v>531.06227106227118</v>
      </c>
      <c r="D47" s="5">
        <f t="shared" si="25"/>
        <v>826.68000000000006</v>
      </c>
      <c r="E47" s="5">
        <f t="shared" si="25"/>
        <v>826.67999999999984</v>
      </c>
      <c r="F47" s="5">
        <f t="shared" si="25"/>
        <v>826.68000000000018</v>
      </c>
      <c r="G47" s="11">
        <f t="shared" si="25"/>
        <v>586.66666666666663</v>
      </c>
      <c r="H47" s="5">
        <f t="shared" si="26"/>
        <v>1076.7</v>
      </c>
      <c r="I47" s="5">
        <f t="shared" si="26"/>
        <v>1076.6999999999998</v>
      </c>
      <c r="J47" s="5">
        <f t="shared" si="26"/>
        <v>1076.7</v>
      </c>
      <c r="K47" s="5">
        <f t="shared" si="26"/>
        <v>1095.9999999999998</v>
      </c>
      <c r="L47" s="5">
        <f t="shared" si="27"/>
        <v>660</v>
      </c>
      <c r="M47" s="5">
        <f t="shared" si="27"/>
        <v>420</v>
      </c>
      <c r="N47" s="5">
        <f t="shared" si="27"/>
        <v>637.4545454545455</v>
      </c>
    </row>
    <row r="48" spans="1:22" x14ac:dyDescent="0.2">
      <c r="A48" s="14" t="str">
        <f>A16</f>
        <v>Carrier</v>
      </c>
      <c r="B48" s="1"/>
      <c r="C48" s="46">
        <f t="shared" ref="C48:J48" si="28">C16/C$17*2000</f>
        <v>0</v>
      </c>
      <c r="D48" s="46">
        <f t="shared" si="28"/>
        <v>0</v>
      </c>
      <c r="E48" s="46">
        <f t="shared" si="28"/>
        <v>0</v>
      </c>
      <c r="F48" s="46">
        <f t="shared" si="28"/>
        <v>0</v>
      </c>
      <c r="G48" s="12">
        <f t="shared" si="28"/>
        <v>0</v>
      </c>
      <c r="H48" s="46">
        <f t="shared" si="28"/>
        <v>0</v>
      </c>
      <c r="I48" s="46">
        <f t="shared" si="28"/>
        <v>0</v>
      </c>
      <c r="J48" s="46">
        <f t="shared" si="28"/>
        <v>0</v>
      </c>
      <c r="K48" s="46">
        <f>K16/K$17*2000</f>
        <v>0</v>
      </c>
      <c r="L48" s="46">
        <f>L16/L$17*2000</f>
        <v>0</v>
      </c>
      <c r="M48" s="46">
        <f>M16/M$17*2000</f>
        <v>0</v>
      </c>
      <c r="N48" s="46">
        <f>N16/N$17*2000</f>
        <v>-0.10909090909091322</v>
      </c>
    </row>
    <row r="49" spans="1:14" x14ac:dyDescent="0.2">
      <c r="A49" s="14" t="s">
        <v>13</v>
      </c>
      <c r="B49" s="1"/>
      <c r="C49" s="46">
        <f t="shared" ref="C49:J49" si="29">SUM(C38:C48)</f>
        <v>2000</v>
      </c>
      <c r="D49" s="46">
        <f t="shared" si="29"/>
        <v>2000</v>
      </c>
      <c r="E49" s="46">
        <f t="shared" si="29"/>
        <v>1999.9999999999998</v>
      </c>
      <c r="F49" s="46">
        <f t="shared" si="29"/>
        <v>2000</v>
      </c>
      <c r="G49" s="15">
        <f t="shared" si="29"/>
        <v>2000</v>
      </c>
      <c r="H49" s="46">
        <f t="shared" si="29"/>
        <v>2000</v>
      </c>
      <c r="I49" s="46">
        <f t="shared" si="29"/>
        <v>2000</v>
      </c>
      <c r="J49" s="46">
        <f t="shared" si="29"/>
        <v>2000</v>
      </c>
      <c r="K49" s="46">
        <f>SUM(K38:K48)</f>
        <v>1999.9999999999998</v>
      </c>
      <c r="L49" s="46">
        <f>SUM(L38:L48)</f>
        <v>2000</v>
      </c>
      <c r="M49" s="46">
        <f>SUM(M38:M48)</f>
        <v>2000</v>
      </c>
      <c r="N49" s="46">
        <f>SUM(N38:N48)</f>
        <v>2000.0000000000002</v>
      </c>
    </row>
    <row r="50" spans="1:14" x14ac:dyDescent="0.2">
      <c r="D50" s="47"/>
      <c r="E50" s="47"/>
      <c r="F50" s="47"/>
      <c r="H50" s="47"/>
      <c r="I50" s="47"/>
      <c r="J50" s="47"/>
      <c r="K50" s="47"/>
      <c r="L50" s="47"/>
      <c r="N50" s="47"/>
    </row>
    <row r="51" spans="1:14" x14ac:dyDescent="0.2">
      <c r="D51" s="47"/>
      <c r="E51" s="47"/>
      <c r="F51" s="47"/>
      <c r="H51" s="47"/>
      <c r="I51" s="47"/>
      <c r="J51" s="47"/>
      <c r="K51" s="47"/>
      <c r="L51" s="47"/>
      <c r="N51" s="47"/>
    </row>
    <row r="52" spans="1:14" x14ac:dyDescent="0.2">
      <c r="A52" s="32" t="s">
        <v>18</v>
      </c>
      <c r="D52" s="47"/>
      <c r="E52" s="47"/>
      <c r="F52" s="47"/>
      <c r="H52" s="47"/>
      <c r="I52" s="47"/>
      <c r="J52" s="47"/>
      <c r="K52" s="47"/>
      <c r="L52" s="47"/>
      <c r="N52" s="47"/>
    </row>
    <row r="53" spans="1:14" x14ac:dyDescent="0.2">
      <c r="A53" s="16" t="s">
        <v>0</v>
      </c>
      <c r="B53" s="17"/>
      <c r="C53" s="18" t="s">
        <v>1</v>
      </c>
      <c r="D53" s="48" t="s">
        <v>2</v>
      </c>
      <c r="E53" s="48" t="s">
        <v>3</v>
      </c>
      <c r="F53" s="48" t="s">
        <v>3</v>
      </c>
      <c r="G53" s="19" t="s">
        <v>4</v>
      </c>
      <c r="H53" s="48" t="s">
        <v>2</v>
      </c>
      <c r="I53" s="48" t="s">
        <v>3</v>
      </c>
      <c r="J53" s="48" t="s">
        <v>3</v>
      </c>
      <c r="K53" s="48" t="s">
        <v>2</v>
      </c>
      <c r="L53" s="48" t="s">
        <v>2</v>
      </c>
      <c r="M53" s="18" t="s">
        <v>1</v>
      </c>
      <c r="N53" s="48" t="s">
        <v>2</v>
      </c>
    </row>
    <row r="54" spans="1:14" x14ac:dyDescent="0.2">
      <c r="A54" s="9" t="str">
        <f t="shared" ref="A54:A64" si="30">A38</f>
        <v>Vitamin premix with phytase (except in product 7 and 8)</v>
      </c>
      <c r="B54" s="4"/>
      <c r="C54" s="45">
        <f t="shared" ref="C54:G63" si="31">C5/C$17*6000</f>
        <v>461.53846153846155</v>
      </c>
      <c r="D54" s="45">
        <f t="shared" si="31"/>
        <v>360</v>
      </c>
      <c r="E54" s="45">
        <f t="shared" si="31"/>
        <v>360</v>
      </c>
      <c r="F54" s="45">
        <f t="shared" si="31"/>
        <v>359.99999999999994</v>
      </c>
      <c r="G54" s="42">
        <f t="shared" si="31"/>
        <v>0</v>
      </c>
      <c r="H54" s="45">
        <f t="shared" ref="H54:K63" si="32">H5/H$17*6000</f>
        <v>360</v>
      </c>
      <c r="I54" s="45">
        <f t="shared" si="32"/>
        <v>360</v>
      </c>
      <c r="J54" s="45">
        <f t="shared" si="32"/>
        <v>360</v>
      </c>
      <c r="K54" s="45">
        <f t="shared" si="32"/>
        <v>360</v>
      </c>
      <c r="L54" s="45">
        <f t="shared" ref="L54:N63" si="33">L5/L$17*6000</f>
        <v>360</v>
      </c>
      <c r="M54" s="45">
        <f t="shared" si="33"/>
        <v>400</v>
      </c>
      <c r="N54" s="45">
        <f t="shared" si="33"/>
        <v>327.27272727272725</v>
      </c>
    </row>
    <row r="55" spans="1:14" x14ac:dyDescent="0.2">
      <c r="A55" s="13" t="str">
        <f t="shared" si="30"/>
        <v>Trace mineral premix</v>
      </c>
      <c r="B55" s="3"/>
      <c r="C55" s="5">
        <f t="shared" si="31"/>
        <v>276.92307692307696</v>
      </c>
      <c r="D55" s="5">
        <f t="shared" si="31"/>
        <v>360</v>
      </c>
      <c r="E55" s="5">
        <f t="shared" si="31"/>
        <v>360</v>
      </c>
      <c r="F55" s="5">
        <f t="shared" si="31"/>
        <v>359.99999999999994</v>
      </c>
      <c r="G55" s="11">
        <f t="shared" si="31"/>
        <v>0</v>
      </c>
      <c r="H55" s="5">
        <f t="shared" si="32"/>
        <v>360</v>
      </c>
      <c r="I55" s="5">
        <f t="shared" si="32"/>
        <v>360</v>
      </c>
      <c r="J55" s="5">
        <f t="shared" si="32"/>
        <v>360</v>
      </c>
      <c r="K55" s="5">
        <f t="shared" si="32"/>
        <v>360</v>
      </c>
      <c r="L55" s="5">
        <f t="shared" si="33"/>
        <v>360</v>
      </c>
      <c r="M55" s="5">
        <f t="shared" si="33"/>
        <v>240</v>
      </c>
      <c r="N55" s="5">
        <f t="shared" si="33"/>
        <v>327.27272727272725</v>
      </c>
    </row>
    <row r="56" spans="1:14" x14ac:dyDescent="0.2">
      <c r="A56" s="13" t="str">
        <f t="shared" si="30"/>
        <v>Sow VTM</v>
      </c>
      <c r="B56" s="3"/>
      <c r="C56" s="5">
        <f t="shared" si="31"/>
        <v>0</v>
      </c>
      <c r="D56" s="5">
        <f t="shared" si="31"/>
        <v>0</v>
      </c>
      <c r="E56" s="5">
        <f t="shared" si="31"/>
        <v>0</v>
      </c>
      <c r="F56" s="5">
        <f t="shared" si="31"/>
        <v>0</v>
      </c>
      <c r="G56" s="11">
        <f t="shared" si="31"/>
        <v>800</v>
      </c>
      <c r="H56" s="5">
        <f t="shared" si="32"/>
        <v>0</v>
      </c>
      <c r="I56" s="5">
        <f t="shared" si="32"/>
        <v>0</v>
      </c>
      <c r="J56" s="5">
        <f t="shared" si="32"/>
        <v>0</v>
      </c>
      <c r="K56" s="5">
        <f t="shared" si="32"/>
        <v>0</v>
      </c>
      <c r="L56" s="5">
        <f t="shared" si="33"/>
        <v>0</v>
      </c>
      <c r="M56" s="5">
        <f t="shared" si="33"/>
        <v>0</v>
      </c>
      <c r="N56" s="5">
        <f t="shared" si="33"/>
        <v>0</v>
      </c>
    </row>
    <row r="57" spans="1:14" x14ac:dyDescent="0.2">
      <c r="A57" s="13" t="str">
        <f t="shared" si="30"/>
        <v>L-threonine</v>
      </c>
      <c r="B57" s="3"/>
      <c r="C57" s="5">
        <f t="shared" si="31"/>
        <v>258.46153846153845</v>
      </c>
      <c r="D57" s="5">
        <f t="shared" si="31"/>
        <v>0</v>
      </c>
      <c r="E57" s="5">
        <f t="shared" si="31"/>
        <v>0</v>
      </c>
      <c r="F57" s="5">
        <f t="shared" si="31"/>
        <v>0</v>
      </c>
      <c r="G57" s="11">
        <f t="shared" si="31"/>
        <v>0</v>
      </c>
      <c r="H57" s="5">
        <f t="shared" si="32"/>
        <v>0</v>
      </c>
      <c r="I57" s="5">
        <f t="shared" si="32"/>
        <v>0</v>
      </c>
      <c r="J57" s="5">
        <f t="shared" si="32"/>
        <v>0</v>
      </c>
      <c r="K57" s="5">
        <f t="shared" si="32"/>
        <v>0</v>
      </c>
      <c r="L57" s="5">
        <f t="shared" si="33"/>
        <v>120</v>
      </c>
      <c r="M57" s="5">
        <f t="shared" si="33"/>
        <v>223.99999999999997</v>
      </c>
      <c r="N57" s="5">
        <f t="shared" si="33"/>
        <v>0</v>
      </c>
    </row>
    <row r="58" spans="1:14" x14ac:dyDescent="0.2">
      <c r="A58" s="13" t="str">
        <f t="shared" si="30"/>
        <v>L-lysine HCl</v>
      </c>
      <c r="B58" s="3"/>
      <c r="C58" s="5">
        <f t="shared" si="31"/>
        <v>553.84615384615392</v>
      </c>
      <c r="D58" s="5">
        <f t="shared" si="31"/>
        <v>399.96</v>
      </c>
      <c r="E58" s="5">
        <f t="shared" si="31"/>
        <v>399.96000000000009</v>
      </c>
      <c r="F58" s="5">
        <f t="shared" si="31"/>
        <v>399.96</v>
      </c>
      <c r="G58" s="11">
        <f t="shared" si="31"/>
        <v>0</v>
      </c>
      <c r="H58" s="5">
        <f t="shared" si="32"/>
        <v>999.90000000000009</v>
      </c>
      <c r="I58" s="5">
        <f t="shared" si="32"/>
        <v>999.90000000000009</v>
      </c>
      <c r="J58" s="5">
        <f t="shared" si="32"/>
        <v>999.9</v>
      </c>
      <c r="K58" s="5">
        <f t="shared" si="32"/>
        <v>900</v>
      </c>
      <c r="L58" s="5">
        <f t="shared" si="33"/>
        <v>720</v>
      </c>
      <c r="M58" s="5">
        <f t="shared" si="33"/>
        <v>480</v>
      </c>
      <c r="N58" s="5">
        <f t="shared" si="33"/>
        <v>363.6</v>
      </c>
    </row>
    <row r="59" spans="1:14" x14ac:dyDescent="0.2">
      <c r="A59" s="13" t="str">
        <f t="shared" si="30"/>
        <v>DL-Methionine</v>
      </c>
      <c r="B59" s="3"/>
      <c r="C59" s="5">
        <f t="shared" si="31"/>
        <v>318.46153846153845</v>
      </c>
      <c r="D59" s="5">
        <f t="shared" si="31"/>
        <v>0</v>
      </c>
      <c r="E59" s="5">
        <f t="shared" si="31"/>
        <v>0</v>
      </c>
      <c r="F59" s="5">
        <f t="shared" si="31"/>
        <v>0</v>
      </c>
      <c r="G59" s="11">
        <f t="shared" si="31"/>
        <v>0</v>
      </c>
      <c r="H59" s="5">
        <f t="shared" si="32"/>
        <v>0</v>
      </c>
      <c r="I59" s="5">
        <f t="shared" si="32"/>
        <v>0</v>
      </c>
      <c r="J59" s="5">
        <f t="shared" si="32"/>
        <v>0</v>
      </c>
      <c r="K59" s="5">
        <f t="shared" si="32"/>
        <v>0</v>
      </c>
      <c r="L59" s="5">
        <f t="shared" si="33"/>
        <v>24</v>
      </c>
      <c r="M59" s="5">
        <f t="shared" si="33"/>
        <v>276</v>
      </c>
      <c r="N59" s="5">
        <f t="shared" si="33"/>
        <v>0</v>
      </c>
    </row>
    <row r="60" spans="1:14" x14ac:dyDescent="0.2">
      <c r="A60" s="13" t="str">
        <f t="shared" si="30"/>
        <v>Salt</v>
      </c>
      <c r="B60" s="3"/>
      <c r="C60" s="5">
        <f t="shared" si="31"/>
        <v>646.15384615384619</v>
      </c>
      <c r="D60" s="5">
        <f t="shared" si="31"/>
        <v>1020.0000000000001</v>
      </c>
      <c r="E60" s="5">
        <f t="shared" si="31"/>
        <v>1020.0000000000001</v>
      </c>
      <c r="F60" s="5">
        <f t="shared" si="31"/>
        <v>1019.9999999999999</v>
      </c>
      <c r="G60" s="11">
        <f t="shared" si="31"/>
        <v>800</v>
      </c>
      <c r="H60" s="5">
        <f t="shared" si="32"/>
        <v>1019.9999999999999</v>
      </c>
      <c r="I60" s="5">
        <f t="shared" si="32"/>
        <v>1020.0000000000001</v>
      </c>
      <c r="J60" s="5">
        <f t="shared" si="32"/>
        <v>1019.9999999999999</v>
      </c>
      <c r="K60" s="5">
        <f t="shared" si="32"/>
        <v>1020.0000000000001</v>
      </c>
      <c r="L60" s="5">
        <f t="shared" si="33"/>
        <v>1020.0000000000001</v>
      </c>
      <c r="M60" s="5">
        <f t="shared" si="33"/>
        <v>560</v>
      </c>
      <c r="N60" s="5">
        <f t="shared" si="33"/>
        <v>927.27272727272725</v>
      </c>
    </row>
    <row r="61" spans="1:14" x14ac:dyDescent="0.2">
      <c r="A61" s="13" t="str">
        <f t="shared" si="30"/>
        <v>Phytase 2000 FTU product</v>
      </c>
      <c r="B61" s="3"/>
      <c r="C61" s="5">
        <f t="shared" si="31"/>
        <v>0</v>
      </c>
      <c r="D61" s="5">
        <f t="shared" si="31"/>
        <v>0</v>
      </c>
      <c r="E61" s="5">
        <f t="shared" si="31"/>
        <v>0</v>
      </c>
      <c r="F61" s="5">
        <f t="shared" si="31"/>
        <v>0</v>
      </c>
      <c r="G61" s="11">
        <f t="shared" si="31"/>
        <v>0</v>
      </c>
      <c r="H61" s="5">
        <f t="shared" si="32"/>
        <v>0</v>
      </c>
      <c r="I61" s="5">
        <f t="shared" si="32"/>
        <v>0</v>
      </c>
      <c r="J61" s="5">
        <f t="shared" si="32"/>
        <v>0</v>
      </c>
      <c r="K61" s="5">
        <f t="shared" si="32"/>
        <v>12</v>
      </c>
      <c r="L61" s="5">
        <f t="shared" si="33"/>
        <v>36</v>
      </c>
      <c r="M61" s="5">
        <f t="shared" si="33"/>
        <v>0</v>
      </c>
      <c r="N61" s="5">
        <f t="shared" si="33"/>
        <v>0</v>
      </c>
    </row>
    <row r="62" spans="1:14" x14ac:dyDescent="0.2">
      <c r="A62" s="13" t="str">
        <f t="shared" si="30"/>
        <v>Monocalcium phosphate (21% P)</v>
      </c>
      <c r="B62" s="3"/>
      <c r="C62" s="5">
        <f t="shared" si="31"/>
        <v>1891.4285714285716</v>
      </c>
      <c r="D62" s="5">
        <f t="shared" si="31"/>
        <v>1380</v>
      </c>
      <c r="E62" s="5">
        <f t="shared" si="31"/>
        <v>1380</v>
      </c>
      <c r="F62" s="5">
        <f t="shared" si="31"/>
        <v>1380</v>
      </c>
      <c r="G62" s="11">
        <f t="shared" si="31"/>
        <v>2640</v>
      </c>
      <c r="H62" s="5">
        <f t="shared" si="32"/>
        <v>30</v>
      </c>
      <c r="I62" s="5">
        <f t="shared" si="32"/>
        <v>30</v>
      </c>
      <c r="J62" s="5">
        <f t="shared" si="32"/>
        <v>29.999999999999996</v>
      </c>
      <c r="K62" s="5">
        <f t="shared" si="32"/>
        <v>60</v>
      </c>
      <c r="L62" s="5">
        <f t="shared" si="33"/>
        <v>1380</v>
      </c>
      <c r="M62" s="5">
        <f t="shared" si="33"/>
        <v>2560</v>
      </c>
      <c r="N62" s="5">
        <f t="shared" si="33"/>
        <v>2142.545454545455</v>
      </c>
    </row>
    <row r="63" spans="1:14" x14ac:dyDescent="0.2">
      <c r="A63" s="13" t="str">
        <f t="shared" si="30"/>
        <v>Calcium carbonate</v>
      </c>
      <c r="B63" s="3"/>
      <c r="C63" s="5">
        <f t="shared" si="31"/>
        <v>1593.1868131868137</v>
      </c>
      <c r="D63" s="5">
        <f t="shared" si="31"/>
        <v>2480.0400000000004</v>
      </c>
      <c r="E63" s="5">
        <f t="shared" si="31"/>
        <v>2480.0399999999995</v>
      </c>
      <c r="F63" s="5">
        <f t="shared" si="31"/>
        <v>2480.0400000000004</v>
      </c>
      <c r="G63" s="11">
        <f t="shared" si="31"/>
        <v>1760</v>
      </c>
      <c r="H63" s="5">
        <f t="shared" si="32"/>
        <v>3230.1</v>
      </c>
      <c r="I63" s="5">
        <f t="shared" si="32"/>
        <v>3230.0999999999995</v>
      </c>
      <c r="J63" s="5">
        <f t="shared" si="32"/>
        <v>3230.1</v>
      </c>
      <c r="K63" s="5">
        <f t="shared" si="32"/>
        <v>3287.9999999999995</v>
      </c>
      <c r="L63" s="5">
        <f t="shared" si="33"/>
        <v>1980</v>
      </c>
      <c r="M63" s="5">
        <f t="shared" si="33"/>
        <v>1260</v>
      </c>
      <c r="N63" s="5">
        <f t="shared" si="33"/>
        <v>1912.3636363636365</v>
      </c>
    </row>
    <row r="64" spans="1:14" x14ac:dyDescent="0.2">
      <c r="A64" s="14" t="str">
        <f t="shared" si="30"/>
        <v>Carrier</v>
      </c>
      <c r="B64" s="1"/>
      <c r="C64" s="46">
        <f t="shared" ref="C64:J64" si="34">C16/C$17*6000</f>
        <v>0</v>
      </c>
      <c r="D64" s="46">
        <f t="shared" si="34"/>
        <v>0</v>
      </c>
      <c r="E64" s="46">
        <f t="shared" si="34"/>
        <v>0</v>
      </c>
      <c r="F64" s="46">
        <f t="shared" si="34"/>
        <v>0</v>
      </c>
      <c r="G64" s="12">
        <f t="shared" si="34"/>
        <v>0</v>
      </c>
      <c r="H64" s="46">
        <f t="shared" si="34"/>
        <v>0</v>
      </c>
      <c r="I64" s="46">
        <f t="shared" si="34"/>
        <v>0</v>
      </c>
      <c r="J64" s="46">
        <f t="shared" si="34"/>
        <v>0</v>
      </c>
      <c r="K64" s="46">
        <f>K16/K$17*6000</f>
        <v>0</v>
      </c>
      <c r="L64" s="46">
        <f>L16/L$17*6000</f>
        <v>0</v>
      </c>
      <c r="M64" s="46">
        <f>M16/M$17*6000</f>
        <v>0</v>
      </c>
      <c r="N64" s="46">
        <f>N16/N$17*6000</f>
        <v>-0.32727272727273971</v>
      </c>
    </row>
    <row r="65" spans="1:14" x14ac:dyDescent="0.2">
      <c r="A65" s="14" t="s">
        <v>13</v>
      </c>
      <c r="B65" s="1"/>
      <c r="C65" s="2">
        <f t="shared" ref="C65:J65" si="35">SUM(C54:C64)</f>
        <v>6000.0000000000018</v>
      </c>
      <c r="D65" s="46">
        <f t="shared" si="35"/>
        <v>6000</v>
      </c>
      <c r="E65" s="46">
        <f t="shared" si="35"/>
        <v>6000</v>
      </c>
      <c r="F65" s="46">
        <f t="shared" si="35"/>
        <v>6000</v>
      </c>
      <c r="G65" s="15">
        <f t="shared" si="35"/>
        <v>6000</v>
      </c>
      <c r="H65" s="46">
        <f t="shared" si="35"/>
        <v>6000</v>
      </c>
      <c r="I65" s="46">
        <f t="shared" si="35"/>
        <v>6000</v>
      </c>
      <c r="J65" s="46">
        <f t="shared" si="35"/>
        <v>6000</v>
      </c>
      <c r="K65" s="46">
        <f>SUM(K54:K64)</f>
        <v>6000</v>
      </c>
      <c r="L65" s="46">
        <f>SUM(L54:L64)</f>
        <v>6000</v>
      </c>
      <c r="M65" s="2">
        <f>SUM(M54:M64)</f>
        <v>6000</v>
      </c>
      <c r="N65" s="46">
        <f>SUM(N54:N64)</f>
        <v>6000.0000000000009</v>
      </c>
    </row>
  </sheetData>
  <phoneticPr fontId="0" type="noConversion"/>
  <pageMargins left="0.75" right="1.27" top="1" bottom="3.54" header="0.5" footer="0.5"/>
  <pageSetup orientation="portrait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65"/>
  <sheetViews>
    <sheetView workbookViewId="0">
      <selection activeCell="X50" sqref="X50"/>
    </sheetView>
  </sheetViews>
  <sheetFormatPr defaultRowHeight="12.75" x14ac:dyDescent="0.2"/>
  <cols>
    <col min="1" max="1" width="30.28515625" customWidth="1"/>
    <col min="2" max="2" width="5.28515625" hidden="1" customWidth="1"/>
    <col min="3" max="3" width="10.28515625" hidden="1" customWidth="1"/>
    <col min="4" max="4" width="8.7109375" hidden="1" customWidth="1"/>
    <col min="5" max="5" width="12" bestFit="1" customWidth="1"/>
    <col min="6" max="7" width="9" hidden="1" customWidth="1"/>
    <col min="8" max="8" width="8.7109375" hidden="1" customWidth="1"/>
    <col min="9" max="10" width="9" hidden="1" customWidth="1"/>
    <col min="12" max="22" width="0" hidden="1" customWidth="1"/>
    <col min="26" max="26" width="10.85546875" bestFit="1" customWidth="1"/>
  </cols>
  <sheetData>
    <row r="1" spans="1:28" ht="25.5" customHeight="1" x14ac:dyDescent="0.2">
      <c r="A1" s="43" t="s">
        <v>20</v>
      </c>
      <c r="B1" s="44"/>
      <c r="C1" s="44"/>
      <c r="D1" s="44"/>
      <c r="E1" s="44"/>
      <c r="F1" s="44"/>
      <c r="G1" s="44"/>
      <c r="H1" s="44"/>
      <c r="I1" s="44"/>
      <c r="J1" s="44"/>
    </row>
    <row r="2" spans="1:28" x14ac:dyDescent="0.2">
      <c r="A2" s="35" t="s">
        <v>19</v>
      </c>
      <c r="C2" s="36">
        <v>1</v>
      </c>
      <c r="D2" s="65">
        <v>2</v>
      </c>
      <c r="E2" s="65">
        <v>5</v>
      </c>
      <c r="F2" s="65"/>
      <c r="G2" s="65">
        <v>3</v>
      </c>
      <c r="H2" s="65">
        <v>4</v>
      </c>
      <c r="I2" t="s">
        <v>42</v>
      </c>
    </row>
    <row r="3" spans="1:28" x14ac:dyDescent="0.2">
      <c r="A3" s="32"/>
      <c r="D3" s="66"/>
      <c r="E3" s="66" t="s">
        <v>53</v>
      </c>
      <c r="F3" s="66"/>
      <c r="G3" s="3"/>
      <c r="H3" s="66" t="s">
        <v>57</v>
      </c>
      <c r="I3" s="52"/>
      <c r="J3" s="52"/>
      <c r="L3" t="s">
        <v>44</v>
      </c>
      <c r="P3" t="s">
        <v>45</v>
      </c>
    </row>
    <row r="4" spans="1:28" x14ac:dyDescent="0.2">
      <c r="A4" s="16" t="s">
        <v>0</v>
      </c>
      <c r="B4" s="17"/>
      <c r="C4" s="18" t="s">
        <v>1</v>
      </c>
      <c r="D4" s="67" t="s">
        <v>26</v>
      </c>
      <c r="E4" s="67" t="s">
        <v>26</v>
      </c>
      <c r="F4" s="67" t="s">
        <v>3</v>
      </c>
      <c r="G4" s="67" t="s">
        <v>4</v>
      </c>
      <c r="H4" s="67" t="s">
        <v>26</v>
      </c>
      <c r="I4" s="49" t="s">
        <v>2</v>
      </c>
      <c r="J4" s="39" t="s">
        <v>3</v>
      </c>
      <c r="L4" s="54" t="s">
        <v>43</v>
      </c>
      <c r="M4" s="54" t="s">
        <v>42</v>
      </c>
      <c r="N4" s="54" t="s">
        <v>13</v>
      </c>
      <c r="P4" s="54" t="s">
        <v>43</v>
      </c>
      <c r="Q4" s="54" t="s">
        <v>42</v>
      </c>
      <c r="X4" t="s">
        <v>29</v>
      </c>
      <c r="Y4" s="54" t="s">
        <v>30</v>
      </c>
      <c r="Z4" t="s">
        <v>31</v>
      </c>
      <c r="AA4" t="s">
        <v>32</v>
      </c>
      <c r="AB4" t="s">
        <v>55</v>
      </c>
    </row>
    <row r="5" spans="1:28" x14ac:dyDescent="0.2">
      <c r="A5" s="13" t="s">
        <v>40</v>
      </c>
      <c r="B5" s="3"/>
      <c r="C5" s="3">
        <v>5</v>
      </c>
      <c r="D5" s="68">
        <v>3</v>
      </c>
      <c r="E5" s="3">
        <v>3</v>
      </c>
      <c r="F5" s="6">
        <f t="shared" ref="F5:F11" si="0">D5*0.7</f>
        <v>2.0999999999999996</v>
      </c>
      <c r="G5" s="6">
        <v>5</v>
      </c>
      <c r="H5" s="13">
        <v>1.2</v>
      </c>
      <c r="I5" s="3">
        <f t="shared" ref="I5:I11" si="1">H5*45/50</f>
        <v>1.08</v>
      </c>
      <c r="J5" s="6">
        <f t="shared" ref="J5:J11" si="2">H5*0.7</f>
        <v>0.84</v>
      </c>
      <c r="L5" s="60">
        <f t="shared" ref="L5:L14" si="3">0.6*D5</f>
        <v>1.7999999999999998</v>
      </c>
      <c r="M5" s="60">
        <f t="shared" ref="M5:M10" si="4">D5-L5</f>
        <v>1.2000000000000002</v>
      </c>
      <c r="N5" s="60">
        <f>SUM(L5:M5)</f>
        <v>3</v>
      </c>
      <c r="P5">
        <f t="shared" ref="P5:P12" si="5">D5*0.2</f>
        <v>0.60000000000000009</v>
      </c>
      <c r="Q5">
        <f>M5*2</f>
        <v>2.4000000000000004</v>
      </c>
      <c r="R5" s="60">
        <f>SUM(P5:Q5)</f>
        <v>3.0000000000000004</v>
      </c>
      <c r="T5">
        <f>P5*0.7</f>
        <v>0.42000000000000004</v>
      </c>
      <c r="U5">
        <f>Q5*0.7</f>
        <v>1.6800000000000002</v>
      </c>
      <c r="V5">
        <f>R5*0.7</f>
        <v>2.1</v>
      </c>
      <c r="X5" s="55">
        <f>3/5*0.38</f>
        <v>0.22799999999999998</v>
      </c>
      <c r="Y5" s="55">
        <v>0</v>
      </c>
      <c r="AB5">
        <v>136000</v>
      </c>
    </row>
    <row r="6" spans="1:28" x14ac:dyDescent="0.2">
      <c r="A6" s="13" t="s">
        <v>41</v>
      </c>
      <c r="B6" s="3"/>
      <c r="C6" s="3">
        <v>3</v>
      </c>
      <c r="D6" s="69">
        <v>3</v>
      </c>
      <c r="E6" s="3">
        <v>3</v>
      </c>
      <c r="F6" s="6">
        <f t="shared" si="0"/>
        <v>2.0999999999999996</v>
      </c>
      <c r="G6" s="6">
        <v>3</v>
      </c>
      <c r="H6" s="13">
        <v>1.2</v>
      </c>
      <c r="I6" s="3">
        <f t="shared" si="1"/>
        <v>1.08</v>
      </c>
      <c r="J6" s="6">
        <f t="shared" si="2"/>
        <v>0.84</v>
      </c>
      <c r="L6" s="60">
        <f t="shared" si="3"/>
        <v>1.7999999999999998</v>
      </c>
      <c r="M6" s="60">
        <f t="shared" si="4"/>
        <v>1.2000000000000002</v>
      </c>
      <c r="N6" s="60">
        <f t="shared" ref="N6:N14" si="6">SUM(L6:M6)</f>
        <v>3</v>
      </c>
      <c r="P6">
        <f t="shared" si="5"/>
        <v>0.60000000000000009</v>
      </c>
      <c r="Q6">
        <f t="shared" ref="Q6:Q14" si="7">M6*2</f>
        <v>2.4000000000000004</v>
      </c>
      <c r="R6" s="60">
        <f t="shared" ref="R6:R14" si="8">SUM(P6:Q6)</f>
        <v>3.0000000000000004</v>
      </c>
      <c r="T6">
        <f t="shared" ref="T6:V14" si="9">P6*0.7</f>
        <v>0.42000000000000004</v>
      </c>
      <c r="U6">
        <f t="shared" si="9"/>
        <v>1.6800000000000002</v>
      </c>
      <c r="V6">
        <f t="shared" si="9"/>
        <v>2.1</v>
      </c>
      <c r="X6" s="55">
        <f>1.4/3*0.38</f>
        <v>0.17733333333333332</v>
      </c>
      <c r="Y6" s="55">
        <v>0</v>
      </c>
    </row>
    <row r="7" spans="1:28" hidden="1" x14ac:dyDescent="0.2">
      <c r="A7" s="13" t="s">
        <v>5</v>
      </c>
      <c r="B7" s="3"/>
      <c r="C7" s="3">
        <v>0</v>
      </c>
      <c r="D7" s="69">
        <v>0</v>
      </c>
      <c r="E7" s="3">
        <f>D7*45/50</f>
        <v>0</v>
      </c>
      <c r="F7" s="6">
        <f t="shared" si="0"/>
        <v>0</v>
      </c>
      <c r="G7" s="6">
        <v>5</v>
      </c>
      <c r="H7" s="13">
        <v>0</v>
      </c>
      <c r="I7" s="3">
        <f t="shared" si="1"/>
        <v>0</v>
      </c>
      <c r="J7" s="6">
        <f t="shared" si="2"/>
        <v>0</v>
      </c>
      <c r="L7" s="60">
        <f t="shared" si="3"/>
        <v>0</v>
      </c>
      <c r="M7" s="60">
        <f t="shared" si="4"/>
        <v>0</v>
      </c>
      <c r="N7" s="60">
        <f t="shared" si="6"/>
        <v>0</v>
      </c>
      <c r="P7">
        <f t="shared" si="5"/>
        <v>0</v>
      </c>
      <c r="Q7">
        <f t="shared" si="7"/>
        <v>0</v>
      </c>
      <c r="R7" s="60">
        <f t="shared" si="8"/>
        <v>0</v>
      </c>
      <c r="T7">
        <f t="shared" si="9"/>
        <v>0</v>
      </c>
      <c r="U7">
        <f t="shared" si="9"/>
        <v>0</v>
      </c>
      <c r="V7">
        <f t="shared" si="9"/>
        <v>0</v>
      </c>
      <c r="X7" s="55">
        <f>2/5*0.38</f>
        <v>0.15200000000000002</v>
      </c>
      <c r="Y7" s="55">
        <v>0</v>
      </c>
    </row>
    <row r="8" spans="1:28" hidden="1" x14ac:dyDescent="0.2">
      <c r="A8" s="13" t="s">
        <v>24</v>
      </c>
      <c r="B8" s="3"/>
      <c r="C8" s="10">
        <v>2.8</v>
      </c>
      <c r="D8" s="69">
        <v>0</v>
      </c>
      <c r="E8" s="3">
        <f>D8*45/50</f>
        <v>0</v>
      </c>
      <c r="F8" s="6">
        <f t="shared" si="0"/>
        <v>0</v>
      </c>
      <c r="G8" s="6">
        <v>0</v>
      </c>
      <c r="H8" s="13">
        <v>0</v>
      </c>
      <c r="I8" s="3">
        <f t="shared" si="1"/>
        <v>0</v>
      </c>
      <c r="J8" s="6">
        <f t="shared" si="2"/>
        <v>0</v>
      </c>
      <c r="L8" s="60">
        <f t="shared" si="3"/>
        <v>0</v>
      </c>
      <c r="M8" s="60">
        <f t="shared" si="4"/>
        <v>0</v>
      </c>
      <c r="N8" s="60">
        <f t="shared" si="6"/>
        <v>0</v>
      </c>
      <c r="P8">
        <f t="shared" si="5"/>
        <v>0</v>
      </c>
      <c r="Q8">
        <f t="shared" si="7"/>
        <v>0</v>
      </c>
      <c r="R8" s="60">
        <f t="shared" si="8"/>
        <v>0</v>
      </c>
      <c r="T8">
        <f t="shared" si="9"/>
        <v>0</v>
      </c>
      <c r="U8">
        <f t="shared" si="9"/>
        <v>0</v>
      </c>
      <c r="V8">
        <f t="shared" si="9"/>
        <v>0</v>
      </c>
    </row>
    <row r="9" spans="1:28" x14ac:dyDescent="0.2">
      <c r="A9" s="13" t="s">
        <v>6</v>
      </c>
      <c r="B9" s="3"/>
      <c r="C9" s="37">
        <v>6</v>
      </c>
      <c r="D9" s="69">
        <v>3.3330000000000002</v>
      </c>
      <c r="E9" s="10">
        <v>3.3330000000000002</v>
      </c>
      <c r="F9" s="6">
        <f t="shared" si="0"/>
        <v>2.3331</v>
      </c>
      <c r="G9" s="6">
        <v>0</v>
      </c>
      <c r="H9" s="13">
        <v>3.3330000000000002</v>
      </c>
      <c r="I9" s="10">
        <f t="shared" si="1"/>
        <v>2.9997000000000003</v>
      </c>
      <c r="J9" s="6">
        <f t="shared" si="2"/>
        <v>2.3331</v>
      </c>
      <c r="L9" s="60">
        <f t="shared" si="3"/>
        <v>1.9998</v>
      </c>
      <c r="M9" s="60">
        <f>D9+2-L9</f>
        <v>3.3332000000000002</v>
      </c>
      <c r="N9" s="60">
        <f t="shared" si="6"/>
        <v>5.3330000000000002</v>
      </c>
      <c r="P9">
        <f t="shared" si="5"/>
        <v>0.66660000000000008</v>
      </c>
      <c r="Q9">
        <f t="shared" si="7"/>
        <v>6.6664000000000003</v>
      </c>
      <c r="R9" s="60">
        <f t="shared" si="8"/>
        <v>7.3330000000000002</v>
      </c>
      <c r="T9">
        <f t="shared" si="9"/>
        <v>0.46662000000000003</v>
      </c>
      <c r="U9">
        <f t="shared" si="9"/>
        <v>4.66648</v>
      </c>
      <c r="V9">
        <f t="shared" si="9"/>
        <v>5.1330999999999998</v>
      </c>
      <c r="AA9" s="59">
        <v>0.78600000000000003</v>
      </c>
    </row>
    <row r="10" spans="1:28" hidden="1" x14ac:dyDescent="0.2">
      <c r="A10" s="20" t="s">
        <v>7</v>
      </c>
      <c r="B10" s="3"/>
      <c r="C10" s="3">
        <v>3.45</v>
      </c>
      <c r="D10" s="69">
        <v>0</v>
      </c>
      <c r="E10" s="3">
        <f>D10*45/50</f>
        <v>0</v>
      </c>
      <c r="F10" s="6">
        <f t="shared" si="0"/>
        <v>0</v>
      </c>
      <c r="G10" s="6">
        <v>0</v>
      </c>
      <c r="H10" s="13">
        <v>0</v>
      </c>
      <c r="I10" s="3">
        <f t="shared" si="1"/>
        <v>0</v>
      </c>
      <c r="J10" s="6">
        <f t="shared" si="2"/>
        <v>0</v>
      </c>
      <c r="L10" s="60">
        <f t="shared" si="3"/>
        <v>0</v>
      </c>
      <c r="M10" s="60">
        <f t="shared" si="4"/>
        <v>0</v>
      </c>
      <c r="N10" s="60">
        <f t="shared" si="6"/>
        <v>0</v>
      </c>
      <c r="P10">
        <f t="shared" si="5"/>
        <v>0</v>
      </c>
      <c r="Q10">
        <f t="shared" si="7"/>
        <v>0</v>
      </c>
      <c r="R10" s="60">
        <f t="shared" si="8"/>
        <v>0</v>
      </c>
      <c r="T10">
        <f t="shared" si="9"/>
        <v>0</v>
      </c>
      <c r="U10">
        <f t="shared" si="9"/>
        <v>0</v>
      </c>
      <c r="V10">
        <f t="shared" si="9"/>
        <v>0</v>
      </c>
    </row>
    <row r="11" spans="1:28" x14ac:dyDescent="0.2">
      <c r="A11" s="13" t="s">
        <v>8</v>
      </c>
      <c r="B11" s="3"/>
      <c r="C11" s="3">
        <v>7</v>
      </c>
      <c r="D11" s="69">
        <v>8.5</v>
      </c>
      <c r="E11" s="3">
        <v>8.5</v>
      </c>
      <c r="F11" s="6">
        <f t="shared" si="0"/>
        <v>5.9499999999999993</v>
      </c>
      <c r="G11" s="6">
        <v>10</v>
      </c>
      <c r="H11" s="13">
        <v>3.4</v>
      </c>
      <c r="I11" s="3">
        <f t="shared" si="1"/>
        <v>3.06</v>
      </c>
      <c r="J11" s="6">
        <f t="shared" si="2"/>
        <v>2.38</v>
      </c>
      <c r="L11" s="60">
        <f t="shared" si="3"/>
        <v>5.0999999999999996</v>
      </c>
      <c r="M11" s="60">
        <f>D11-L11</f>
        <v>3.4000000000000004</v>
      </c>
      <c r="N11" s="60">
        <f t="shared" si="6"/>
        <v>8.5</v>
      </c>
      <c r="P11">
        <f t="shared" si="5"/>
        <v>1.7000000000000002</v>
      </c>
      <c r="Q11">
        <f t="shared" si="7"/>
        <v>6.8000000000000007</v>
      </c>
      <c r="R11" s="60">
        <f t="shared" si="8"/>
        <v>8.5</v>
      </c>
      <c r="T11">
        <f t="shared" si="9"/>
        <v>1.19</v>
      </c>
      <c r="U11">
        <f t="shared" si="9"/>
        <v>4.76</v>
      </c>
      <c r="V11">
        <f t="shared" si="9"/>
        <v>5.9499999999999993</v>
      </c>
    </row>
    <row r="12" spans="1:28" x14ac:dyDescent="0.2">
      <c r="A12" s="13" t="s">
        <v>54</v>
      </c>
      <c r="B12" s="3"/>
      <c r="C12" s="37"/>
      <c r="D12" s="69"/>
      <c r="E12" s="3">
        <v>1.5</v>
      </c>
      <c r="F12" s="6"/>
      <c r="G12" s="6"/>
      <c r="H12" s="13"/>
      <c r="I12" s="3"/>
      <c r="J12" s="6"/>
      <c r="L12" s="60">
        <f t="shared" si="3"/>
        <v>0</v>
      </c>
      <c r="N12" s="60">
        <f>SUM(L12:M12)</f>
        <v>0</v>
      </c>
      <c r="P12">
        <f t="shared" si="5"/>
        <v>0</v>
      </c>
      <c r="Q12">
        <f t="shared" si="7"/>
        <v>0</v>
      </c>
      <c r="R12" s="60">
        <f t="shared" si="8"/>
        <v>0</v>
      </c>
      <c r="T12">
        <f t="shared" si="9"/>
        <v>0</v>
      </c>
      <c r="U12">
        <f t="shared" si="9"/>
        <v>0</v>
      </c>
      <c r="V12">
        <f t="shared" si="9"/>
        <v>0</v>
      </c>
      <c r="AB12">
        <v>272160</v>
      </c>
    </row>
    <row r="13" spans="1:28" x14ac:dyDescent="0.2">
      <c r="A13" s="20" t="s">
        <v>9</v>
      </c>
      <c r="B13" s="3"/>
      <c r="C13" s="7">
        <f>0.0662*65/0.21</f>
        <v>20.490476190476191</v>
      </c>
      <c r="D13" s="70">
        <v>11.5</v>
      </c>
      <c r="E13" s="3">
        <v>9.5</v>
      </c>
      <c r="F13" s="6">
        <f>D13*0.7</f>
        <v>8.0499999999999989</v>
      </c>
      <c r="G13" s="8">
        <v>33</v>
      </c>
      <c r="H13" s="33">
        <v>0.1</v>
      </c>
      <c r="I13" s="3">
        <f>H13*45/50</f>
        <v>0.09</v>
      </c>
      <c r="J13" s="6">
        <f>H13*0.7</f>
        <v>6.9999999999999993E-2</v>
      </c>
      <c r="L13" s="60">
        <f>0.6*D13</f>
        <v>6.8999999999999995</v>
      </c>
      <c r="M13">
        <v>0.1</v>
      </c>
      <c r="N13" s="60">
        <f t="shared" si="6"/>
        <v>6.9999999999999991</v>
      </c>
      <c r="O13" s="60">
        <f>D13-N13</f>
        <v>4.5000000000000009</v>
      </c>
      <c r="P13">
        <f>D13*0.2</f>
        <v>2.3000000000000003</v>
      </c>
      <c r="Q13">
        <f t="shared" si="7"/>
        <v>0.2</v>
      </c>
      <c r="R13" s="60">
        <f t="shared" si="8"/>
        <v>2.5000000000000004</v>
      </c>
      <c r="T13">
        <f t="shared" si="9"/>
        <v>1.61</v>
      </c>
      <c r="U13">
        <f t="shared" si="9"/>
        <v>0.13999999999999999</v>
      </c>
      <c r="V13">
        <f t="shared" si="9"/>
        <v>1.7500000000000002</v>
      </c>
      <c r="X13" s="59">
        <v>0.185</v>
      </c>
      <c r="Y13" s="59">
        <v>0.16</v>
      </c>
      <c r="Z13" s="59">
        <v>0.21</v>
      </c>
    </row>
    <row r="14" spans="1:28" x14ac:dyDescent="0.2">
      <c r="A14" s="14" t="s">
        <v>10</v>
      </c>
      <c r="B14" s="1"/>
      <c r="C14" s="2">
        <f>((0.158*65)-C13*0.185)/0.38</f>
        <v>17.050689223057642</v>
      </c>
      <c r="D14" s="71">
        <v>20</v>
      </c>
      <c r="E14" s="1">
        <v>20</v>
      </c>
      <c r="F14" s="53">
        <f>D14*0.7</f>
        <v>14</v>
      </c>
      <c r="G14" s="15">
        <v>19</v>
      </c>
      <c r="H14" s="34">
        <v>10</v>
      </c>
      <c r="I14" s="1">
        <f>H14*45/50</f>
        <v>9</v>
      </c>
      <c r="J14" s="53">
        <f>H14*0.7</f>
        <v>7</v>
      </c>
      <c r="L14" s="60">
        <f t="shared" si="3"/>
        <v>12</v>
      </c>
      <c r="M14" s="60">
        <f>D14+2-L14</f>
        <v>10</v>
      </c>
      <c r="N14" s="60">
        <f t="shared" si="6"/>
        <v>22</v>
      </c>
      <c r="P14">
        <f>D14*0.2</f>
        <v>4</v>
      </c>
      <c r="Q14">
        <f t="shared" si="7"/>
        <v>20</v>
      </c>
      <c r="R14" s="60">
        <f t="shared" si="8"/>
        <v>24</v>
      </c>
      <c r="T14">
        <f t="shared" si="9"/>
        <v>2.8</v>
      </c>
      <c r="U14">
        <f t="shared" si="9"/>
        <v>14</v>
      </c>
      <c r="V14">
        <f t="shared" si="9"/>
        <v>16.799999999999997</v>
      </c>
      <c r="X14" s="59">
        <v>0.38</v>
      </c>
      <c r="Y14" s="59">
        <v>0.35</v>
      </c>
    </row>
    <row r="15" spans="1:28" x14ac:dyDescent="0.2">
      <c r="A15" s="22" t="s">
        <v>11</v>
      </c>
      <c r="B15" s="23"/>
      <c r="C15" s="24">
        <f t="shared" ref="C15:J15" si="10">SUM(C5:C14)</f>
        <v>64.791165413533832</v>
      </c>
      <c r="D15" s="72">
        <f t="shared" si="10"/>
        <v>49.332999999999998</v>
      </c>
      <c r="E15" s="50">
        <f t="shared" si="10"/>
        <v>48.832999999999998</v>
      </c>
      <c r="F15" s="41">
        <f t="shared" si="10"/>
        <v>34.533099999999997</v>
      </c>
      <c r="G15" s="25">
        <f t="shared" si="10"/>
        <v>75</v>
      </c>
      <c r="H15" s="40">
        <f t="shared" si="10"/>
        <v>19.233000000000001</v>
      </c>
      <c r="I15" s="50">
        <f t="shared" si="10"/>
        <v>17.309699999999999</v>
      </c>
      <c r="J15" s="41">
        <f t="shared" si="10"/>
        <v>13.463100000000001</v>
      </c>
      <c r="L15" s="60">
        <f>SUM(L5:L14)</f>
        <v>29.599799999999998</v>
      </c>
      <c r="M15" s="60">
        <f>SUM(M5:M14)</f>
        <v>19.2332</v>
      </c>
      <c r="N15" s="60">
        <f>SUM(L15:M15)</f>
        <v>48.832999999999998</v>
      </c>
      <c r="P15">
        <f>SUM(P5:P14)</f>
        <v>9.8666</v>
      </c>
      <c r="Q15">
        <f>SUM(Q5:Q14)</f>
        <v>38.4664</v>
      </c>
      <c r="R15">
        <f>SUM(R5:R14)</f>
        <v>48.332999999999998</v>
      </c>
      <c r="T15">
        <f>SUM(T5:T14)</f>
        <v>6.9066200000000002</v>
      </c>
      <c r="U15">
        <f>SUM(U5:U14)</f>
        <v>26.926479999999998</v>
      </c>
      <c r="V15">
        <f>SUM(V5:V14)</f>
        <v>33.833100000000002</v>
      </c>
    </row>
    <row r="16" spans="1:28" x14ac:dyDescent="0.2">
      <c r="A16" s="13" t="s">
        <v>12</v>
      </c>
      <c r="B16" s="3"/>
      <c r="C16" s="7">
        <f t="shared" ref="C16:J16" si="11">C17-C15</f>
        <v>0.20883458646616759</v>
      </c>
      <c r="D16" s="70">
        <f t="shared" si="11"/>
        <v>0.66700000000000159</v>
      </c>
      <c r="E16" s="7">
        <f t="shared" si="11"/>
        <v>1.1670000000000016</v>
      </c>
      <c r="F16" s="8">
        <f t="shared" si="11"/>
        <v>0.46690000000000254</v>
      </c>
      <c r="G16" s="8">
        <f t="shared" si="11"/>
        <v>0</v>
      </c>
      <c r="H16" s="33">
        <f t="shared" si="11"/>
        <v>0.76699999999999946</v>
      </c>
      <c r="I16" s="7">
        <f t="shared" si="11"/>
        <v>2.6903000000000006</v>
      </c>
      <c r="J16" s="8">
        <f t="shared" si="11"/>
        <v>0.53689999999999927</v>
      </c>
      <c r="L16">
        <v>30</v>
      </c>
      <c r="M16">
        <v>20</v>
      </c>
      <c r="P16">
        <v>10</v>
      </c>
      <c r="Q16">
        <v>40</v>
      </c>
    </row>
    <row r="17" spans="1:18" x14ac:dyDescent="0.2">
      <c r="A17" s="22" t="s">
        <v>13</v>
      </c>
      <c r="B17" s="23"/>
      <c r="C17" s="23">
        <v>65</v>
      </c>
      <c r="D17" s="73">
        <v>50</v>
      </c>
      <c r="E17" s="23">
        <v>50</v>
      </c>
      <c r="F17" s="26">
        <v>35</v>
      </c>
      <c r="G17" s="26">
        <v>75</v>
      </c>
      <c r="H17" s="22">
        <v>20</v>
      </c>
      <c r="I17" s="23">
        <f>E17/D17*H17</f>
        <v>20</v>
      </c>
      <c r="J17" s="26">
        <f>F17/D17*H17</f>
        <v>14</v>
      </c>
    </row>
    <row r="18" spans="1:18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</row>
    <row r="19" spans="1:18" hidden="1" x14ac:dyDescent="0.2">
      <c r="A19" s="27"/>
      <c r="B19" s="27"/>
      <c r="C19" s="27"/>
      <c r="D19" s="27"/>
      <c r="E19" s="27" t="s">
        <v>21</v>
      </c>
      <c r="F19" s="27" t="s">
        <v>21</v>
      </c>
      <c r="G19" s="27" t="s">
        <v>22</v>
      </c>
      <c r="H19" s="27"/>
      <c r="I19" s="27" t="s">
        <v>21</v>
      </c>
      <c r="J19" s="27" t="s">
        <v>21</v>
      </c>
    </row>
    <row r="20" spans="1:18" ht="27.75" hidden="1" customHeight="1" x14ac:dyDescent="0.2">
      <c r="A20" s="43" t="s">
        <v>14</v>
      </c>
      <c r="B20" s="44"/>
      <c r="C20" s="44"/>
      <c r="D20" s="44"/>
      <c r="E20" s="44"/>
      <c r="F20" s="44"/>
      <c r="G20" s="44"/>
      <c r="H20" s="44"/>
      <c r="I20" s="44"/>
      <c r="J20" s="44"/>
      <c r="L20" t="s">
        <v>46</v>
      </c>
    </row>
    <row r="21" spans="1:18" hidden="1" x14ac:dyDescent="0.2">
      <c r="A21" s="29" t="s">
        <v>15</v>
      </c>
      <c r="B21" s="4"/>
      <c r="C21" s="30">
        <f>C29/100*C25/0.185</f>
        <v>23.25945945945946</v>
      </c>
      <c r="D21" s="30">
        <f>D29*D25/0.185/100</f>
        <v>13.054054054054054</v>
      </c>
      <c r="E21" s="4">
        <f>D21*45/50</f>
        <v>11.748648648648647</v>
      </c>
      <c r="F21" s="30">
        <f>D21*0.7</f>
        <v>9.1378378378378375</v>
      </c>
      <c r="G21" s="31">
        <f>0.099*70/0.185</f>
        <v>37.45945945945946</v>
      </c>
      <c r="H21" s="30">
        <f>H29*H25/0.185/100</f>
        <v>0.11351351351351352</v>
      </c>
      <c r="I21" s="4">
        <f>H21*45/50</f>
        <v>0.10216216216216217</v>
      </c>
      <c r="J21" s="30">
        <f>H21*0.7</f>
        <v>7.9459459459459453E-2</v>
      </c>
      <c r="L21" t="s">
        <v>47</v>
      </c>
    </row>
    <row r="22" spans="1:18" hidden="1" x14ac:dyDescent="0.2">
      <c r="A22" s="21" t="s">
        <v>16</v>
      </c>
      <c r="B22" s="1"/>
      <c r="C22" s="2">
        <f>((0.16*C17)-C21*0.21)/0.38</f>
        <v>14.514509246088194</v>
      </c>
      <c r="D22" s="2">
        <f>((0.194*D17)-D21*0.21)/0.38</f>
        <v>18.3122332859175</v>
      </c>
      <c r="E22" s="1">
        <f>D22*45/50</f>
        <v>16.48100995732575</v>
      </c>
      <c r="F22" s="2">
        <f>D22*0.7</f>
        <v>12.81856330014225</v>
      </c>
      <c r="G22" s="15">
        <f>((0.18*G17)-G21*0.21)/0.38</f>
        <v>14.825035561877669</v>
      </c>
      <c r="H22" s="2">
        <f>((0.194*H17)-H21*0.21)/0.38</f>
        <v>10.147795163584638</v>
      </c>
      <c r="I22" s="1">
        <f>H22*45/50</f>
        <v>9.1330156472261734</v>
      </c>
      <c r="J22" s="2">
        <f>H22*0.7</f>
        <v>7.1034566145092457</v>
      </c>
      <c r="L22" t="s">
        <v>48</v>
      </c>
    </row>
    <row r="23" spans="1:18" hidden="1" x14ac:dyDescent="0.2">
      <c r="A23" s="22" t="s">
        <v>11</v>
      </c>
      <c r="B23" s="23"/>
      <c r="C23" s="28">
        <f t="shared" ref="C23:J23" si="12">SUM(C5:C12)+C21+C22</f>
        <v>65.023968705547659</v>
      </c>
      <c r="D23" s="28">
        <f t="shared" si="12"/>
        <v>49.199287339971555</v>
      </c>
      <c r="E23" s="28">
        <f t="shared" si="12"/>
        <v>47.562658605974391</v>
      </c>
      <c r="F23" s="28">
        <f t="shared" si="12"/>
        <v>34.439501137980088</v>
      </c>
      <c r="G23" s="28">
        <f t="shared" si="12"/>
        <v>75.284495021337136</v>
      </c>
      <c r="H23" s="28">
        <f t="shared" si="12"/>
        <v>19.394308677098152</v>
      </c>
      <c r="I23" s="28">
        <f t="shared" si="12"/>
        <v>17.454877809388336</v>
      </c>
      <c r="J23" s="28">
        <f t="shared" si="12"/>
        <v>13.576016073968706</v>
      </c>
      <c r="L23" t="s">
        <v>49</v>
      </c>
    </row>
    <row r="24" spans="1:18" hidden="1" x14ac:dyDescent="0.2">
      <c r="A24" s="13" t="s">
        <v>12</v>
      </c>
      <c r="B24" s="3"/>
      <c r="C24" s="7">
        <f t="shared" ref="C24:J24" si="13">C25-C23</f>
        <v>-2.3968705547659397E-2</v>
      </c>
      <c r="D24" s="7">
        <f t="shared" si="13"/>
        <v>0.8007126600284451</v>
      </c>
      <c r="E24" s="7">
        <f t="shared" si="13"/>
        <v>2.4373413940256086</v>
      </c>
      <c r="F24" s="7">
        <f t="shared" si="13"/>
        <v>0.56049886201991228</v>
      </c>
      <c r="G24" s="8">
        <f t="shared" si="13"/>
        <v>-0.28449502133713622</v>
      </c>
      <c r="H24" s="7">
        <f t="shared" si="13"/>
        <v>0.60569132290184768</v>
      </c>
      <c r="I24" s="7">
        <f t="shared" si="13"/>
        <v>0.54512219061166434</v>
      </c>
      <c r="J24" s="7">
        <f t="shared" si="13"/>
        <v>0.42398392603129409</v>
      </c>
      <c r="L24" t="s">
        <v>50</v>
      </c>
    </row>
    <row r="25" spans="1:18" hidden="1" x14ac:dyDescent="0.2">
      <c r="A25" s="22" t="s">
        <v>13</v>
      </c>
      <c r="B25" s="23"/>
      <c r="C25" s="23">
        <v>65</v>
      </c>
      <c r="D25" s="23">
        <v>50</v>
      </c>
      <c r="E25" s="23">
        <v>50</v>
      </c>
      <c r="F25" s="23">
        <v>35</v>
      </c>
      <c r="G25" s="26">
        <v>75</v>
      </c>
      <c r="H25" s="23">
        <v>20</v>
      </c>
      <c r="I25" s="23">
        <v>18</v>
      </c>
      <c r="J25" s="23">
        <v>14</v>
      </c>
      <c r="L25" t="s">
        <v>51</v>
      </c>
    </row>
    <row r="26" spans="1:18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L26" t="s">
        <v>52</v>
      </c>
    </row>
    <row r="27" spans="1:18" x14ac:dyDescent="0.2">
      <c r="A27" s="27" t="s">
        <v>33</v>
      </c>
      <c r="B27" s="27"/>
      <c r="C27" s="57">
        <f t="shared" ref="C27:J27" si="14">(SUMPRODUCT(C5:C14,$X$5:$X$14))/C17*100</f>
        <v>18.37230769230769</v>
      </c>
      <c r="D27" s="57">
        <f t="shared" si="14"/>
        <v>21.887</v>
      </c>
      <c r="E27" s="57">
        <f t="shared" si="14"/>
        <v>21.146999999999998</v>
      </c>
      <c r="F27" s="57">
        <f t="shared" si="14"/>
        <v>21.887</v>
      </c>
      <c r="G27" s="57">
        <f t="shared" si="14"/>
        <v>21.009333333333331</v>
      </c>
      <c r="H27" s="57">
        <f t="shared" si="14"/>
        <v>21.5245</v>
      </c>
      <c r="I27" s="57">
        <f t="shared" si="14"/>
        <v>19.372050000000002</v>
      </c>
      <c r="J27" s="57">
        <f t="shared" si="14"/>
        <v>21.5245</v>
      </c>
      <c r="K27" s="57"/>
    </row>
    <row r="28" spans="1:18" x14ac:dyDescent="0.2">
      <c r="A28" s="27" t="s">
        <v>34</v>
      </c>
      <c r="B28" s="27"/>
      <c r="C28" s="57">
        <f t="shared" ref="C28:J28" si="15">(SUMPRODUCT(C5:C14,$Y$5:$Y$14))/C17*100</f>
        <v>14.224949874686715</v>
      </c>
      <c r="D28" s="57">
        <f t="shared" si="15"/>
        <v>17.68</v>
      </c>
      <c r="E28" s="57">
        <f t="shared" si="15"/>
        <v>17.04</v>
      </c>
      <c r="F28" s="57">
        <f t="shared" si="15"/>
        <v>17.679999999999996</v>
      </c>
      <c r="G28" s="57">
        <f t="shared" si="15"/>
        <v>15.906666666666666</v>
      </c>
      <c r="H28" s="57">
        <f t="shared" si="15"/>
        <v>17.580000000000002</v>
      </c>
      <c r="I28" s="57">
        <f t="shared" si="15"/>
        <v>15.821999999999999</v>
      </c>
      <c r="J28" s="57">
        <f t="shared" si="15"/>
        <v>17.579999999999998</v>
      </c>
      <c r="K28" s="57"/>
    </row>
    <row r="29" spans="1:18" ht="13.5" thickBot="1" x14ac:dyDescent="0.25">
      <c r="A29" s="27" t="s">
        <v>35</v>
      </c>
      <c r="B29" s="27"/>
      <c r="C29" s="58">
        <f t="shared" ref="C29:J29" si="16">(SUMPRODUCT(C5:C14,$Z$5:$Z$14))/C17*100</f>
        <v>6.6199999999999992</v>
      </c>
      <c r="D29" s="58">
        <f t="shared" si="16"/>
        <v>4.83</v>
      </c>
      <c r="E29" s="58">
        <f t="shared" si="16"/>
        <v>3.9899999999999998</v>
      </c>
      <c r="F29" s="58">
        <f t="shared" si="16"/>
        <v>4.8299999999999992</v>
      </c>
      <c r="G29" s="58">
        <f t="shared" si="16"/>
        <v>9.24</v>
      </c>
      <c r="H29" s="58">
        <f t="shared" si="16"/>
        <v>0.10500000000000001</v>
      </c>
      <c r="I29" s="58">
        <f t="shared" si="16"/>
        <v>9.4500000000000001E-2</v>
      </c>
      <c r="J29" s="58">
        <f t="shared" si="16"/>
        <v>0.105</v>
      </c>
      <c r="K29" s="58"/>
    </row>
    <row r="30" spans="1:18" ht="15.75" thickBot="1" x14ac:dyDescent="0.25">
      <c r="A30" s="27" t="s">
        <v>36</v>
      </c>
      <c r="B30" s="27"/>
      <c r="C30" s="57">
        <f t="shared" ref="C30:J30" si="17">(SUMPRODUCT(C5:C14,$AA$5:$AA$14))/C17*100</f>
        <v>7.2553846153846164</v>
      </c>
      <c r="D30" s="57">
        <f t="shared" si="17"/>
        <v>5.2394760000000007</v>
      </c>
      <c r="E30" s="57">
        <f t="shared" si="17"/>
        <v>5.2394760000000007</v>
      </c>
      <c r="F30" s="57">
        <f t="shared" si="17"/>
        <v>5.2394759999999998</v>
      </c>
      <c r="G30" s="57">
        <f t="shared" si="17"/>
        <v>0</v>
      </c>
      <c r="H30" s="57">
        <f t="shared" si="17"/>
        <v>13.098690000000001</v>
      </c>
      <c r="I30" s="57">
        <f t="shared" si="17"/>
        <v>11.788821</v>
      </c>
      <c r="J30" s="57">
        <f t="shared" si="17"/>
        <v>13.09869</v>
      </c>
      <c r="K30" s="27"/>
      <c r="N30" s="61">
        <v>50</v>
      </c>
      <c r="O30" s="62">
        <v>45</v>
      </c>
      <c r="P30" s="62">
        <v>40</v>
      </c>
      <c r="Q30" s="62">
        <v>35</v>
      </c>
      <c r="R30" s="62">
        <v>30</v>
      </c>
    </row>
    <row r="31" spans="1:18" ht="15" hidden="1" x14ac:dyDescent="0.2">
      <c r="A31" s="27" t="s">
        <v>37</v>
      </c>
      <c r="B31" s="27"/>
      <c r="C31" s="57">
        <f>C8*0.99/C17*100</f>
        <v>4.264615384615384</v>
      </c>
      <c r="D31" s="27"/>
      <c r="E31" s="27"/>
      <c r="F31" s="27"/>
      <c r="G31" s="27"/>
      <c r="H31" s="27"/>
      <c r="I31" s="27"/>
      <c r="J31" s="27"/>
      <c r="K31" s="27"/>
      <c r="M31" s="64">
        <v>0.05</v>
      </c>
      <c r="N31" s="63">
        <f>N30*0.8</f>
        <v>40</v>
      </c>
      <c r="O31" s="63">
        <f>O30*0.8</f>
        <v>36</v>
      </c>
      <c r="P31" s="63">
        <f>P30*0.8</f>
        <v>32</v>
      </c>
      <c r="Q31" s="63">
        <f>Q30*0.8</f>
        <v>28</v>
      </c>
      <c r="R31" s="63">
        <f>R30*0.8</f>
        <v>24</v>
      </c>
    </row>
    <row r="32" spans="1:18" ht="15" hidden="1" x14ac:dyDescent="0.2">
      <c r="A32" s="27" t="s">
        <v>38</v>
      </c>
      <c r="B32" s="27"/>
      <c r="C32" s="57">
        <f>C10*0.981/C17*100</f>
        <v>5.2068461538461541</v>
      </c>
      <c r="D32" s="27"/>
      <c r="E32" s="27"/>
      <c r="F32" s="27"/>
      <c r="G32" s="27"/>
      <c r="H32" s="27"/>
      <c r="I32" s="27"/>
      <c r="J32" s="27"/>
      <c r="K32" s="27"/>
      <c r="N32" s="63">
        <f>N30-N31</f>
        <v>10</v>
      </c>
      <c r="O32" s="63">
        <f>O30-O31</f>
        <v>9</v>
      </c>
      <c r="P32" s="63">
        <f>P30-P31</f>
        <v>8</v>
      </c>
      <c r="Q32" s="63">
        <f>Q30-Q31</f>
        <v>7</v>
      </c>
      <c r="R32" s="63">
        <f>R30-R31</f>
        <v>6</v>
      </c>
    </row>
    <row r="33" spans="1:18" x14ac:dyDescent="0.2">
      <c r="A33" s="27" t="s">
        <v>56</v>
      </c>
      <c r="B33" s="27"/>
      <c r="C33" s="74">
        <f t="shared" ref="C33:H33" si="18">(SUMPRODUCT(C5:C14,$AB$5:$AB$14))/C17*100</f>
        <v>1046153.8461538461</v>
      </c>
      <c r="D33" s="74">
        <f t="shared" si="18"/>
        <v>816000</v>
      </c>
      <c r="E33" s="74">
        <f t="shared" si="18"/>
        <v>1632480</v>
      </c>
      <c r="F33" s="74">
        <f t="shared" si="18"/>
        <v>815999.99999999977</v>
      </c>
      <c r="G33" s="74">
        <f t="shared" si="18"/>
        <v>906666.66666666663</v>
      </c>
      <c r="H33" s="74">
        <f t="shared" si="18"/>
        <v>816000</v>
      </c>
      <c r="I33" s="27"/>
      <c r="J33" s="27"/>
      <c r="M33" s="64">
        <v>0.1</v>
      </c>
      <c r="N33">
        <f>N30*0.6</f>
        <v>30</v>
      </c>
      <c r="O33">
        <f>O30*0.6</f>
        <v>27</v>
      </c>
      <c r="P33">
        <f>P30*0.6</f>
        <v>24</v>
      </c>
      <c r="Q33">
        <f>Q30*0.6</f>
        <v>21</v>
      </c>
      <c r="R33">
        <f>R30*0.6</f>
        <v>18</v>
      </c>
    </row>
    <row r="34" spans="1:18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N34">
        <f>N30-N33</f>
        <v>20</v>
      </c>
      <c r="O34">
        <f>O30-O33</f>
        <v>18</v>
      </c>
      <c r="P34">
        <f>P30-P33</f>
        <v>16</v>
      </c>
      <c r="Q34">
        <f>Q30-Q33</f>
        <v>14</v>
      </c>
      <c r="R34">
        <f>R30-R33</f>
        <v>12</v>
      </c>
    </row>
    <row r="35" spans="1:18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M35" s="64">
        <v>0.2</v>
      </c>
      <c r="N35">
        <f>N30*0.2</f>
        <v>10</v>
      </c>
      <c r="O35">
        <f>O30*0.2</f>
        <v>9</v>
      </c>
      <c r="P35">
        <f>P30*0.2</f>
        <v>8</v>
      </c>
      <c r="Q35">
        <f>Q30*0.2</f>
        <v>7</v>
      </c>
      <c r="R35">
        <f>R30*0.2</f>
        <v>6</v>
      </c>
    </row>
    <row r="36" spans="1:18" x14ac:dyDescent="0.2">
      <c r="A36" s="32" t="s">
        <v>17</v>
      </c>
      <c r="N36">
        <f>N30-N35</f>
        <v>40</v>
      </c>
      <c r="O36">
        <f>O30-O35</f>
        <v>36</v>
      </c>
      <c r="P36">
        <f>P30-P35</f>
        <v>32</v>
      </c>
      <c r="Q36">
        <f>Q30-Q35</f>
        <v>28</v>
      </c>
      <c r="R36">
        <f>R30-R35</f>
        <v>24</v>
      </c>
    </row>
    <row r="37" spans="1:18" x14ac:dyDescent="0.2">
      <c r="A37" s="16" t="s">
        <v>0</v>
      </c>
      <c r="B37" s="17"/>
      <c r="C37" s="18" t="s">
        <v>1</v>
      </c>
      <c r="D37" s="18" t="s">
        <v>2</v>
      </c>
      <c r="E37" s="18" t="s">
        <v>3</v>
      </c>
      <c r="F37" s="18" t="s">
        <v>3</v>
      </c>
      <c r="G37" s="19" t="s">
        <v>4</v>
      </c>
      <c r="H37" s="18" t="s">
        <v>2</v>
      </c>
      <c r="I37" s="18" t="s">
        <v>3</v>
      </c>
      <c r="J37" s="18" t="s">
        <v>3</v>
      </c>
    </row>
    <row r="38" spans="1:18" x14ac:dyDescent="0.2">
      <c r="A38" s="9" t="str">
        <f t="shared" ref="A38:A47" si="19">A5</f>
        <v>Vitamin premix with phytase</v>
      </c>
      <c r="B38" s="4"/>
      <c r="C38" s="45">
        <f t="shared" ref="C38:J47" si="20">C5/C$17*2000</f>
        <v>153.84615384615387</v>
      </c>
      <c r="D38" s="45">
        <f t="shared" si="20"/>
        <v>120</v>
      </c>
      <c r="E38" s="45">
        <f t="shared" si="20"/>
        <v>120</v>
      </c>
      <c r="F38" s="45">
        <f t="shared" si="20"/>
        <v>119.99999999999999</v>
      </c>
      <c r="G38" s="42">
        <f t="shared" si="20"/>
        <v>133.33333333333334</v>
      </c>
      <c r="H38" s="45">
        <f t="shared" si="20"/>
        <v>120</v>
      </c>
      <c r="I38" s="45">
        <f t="shared" si="20"/>
        <v>108.00000000000001</v>
      </c>
      <c r="J38" s="45">
        <f t="shared" si="20"/>
        <v>120</v>
      </c>
    </row>
    <row r="39" spans="1:18" x14ac:dyDescent="0.2">
      <c r="A39" s="13" t="str">
        <f t="shared" si="19"/>
        <v>Trace mineral premix</v>
      </c>
      <c r="B39" s="3"/>
      <c r="C39" s="5">
        <f t="shared" si="20"/>
        <v>92.307692307692307</v>
      </c>
      <c r="D39" s="5">
        <f t="shared" si="20"/>
        <v>120</v>
      </c>
      <c r="E39" s="5">
        <f t="shared" si="20"/>
        <v>120</v>
      </c>
      <c r="F39" s="5">
        <f t="shared" si="20"/>
        <v>119.99999999999999</v>
      </c>
      <c r="G39" s="11">
        <f t="shared" si="20"/>
        <v>80</v>
      </c>
      <c r="H39" s="5">
        <f t="shared" si="20"/>
        <v>120</v>
      </c>
      <c r="I39" s="5">
        <f t="shared" si="20"/>
        <v>108.00000000000001</v>
      </c>
      <c r="J39" s="5">
        <f t="shared" si="20"/>
        <v>120</v>
      </c>
    </row>
    <row r="40" spans="1:18" hidden="1" x14ac:dyDescent="0.2">
      <c r="A40" s="13" t="str">
        <f t="shared" si="19"/>
        <v>Sow add pack</v>
      </c>
      <c r="B40" s="3"/>
      <c r="C40" s="5">
        <f t="shared" si="20"/>
        <v>0</v>
      </c>
      <c r="D40" s="5">
        <f t="shared" si="20"/>
        <v>0</v>
      </c>
      <c r="E40" s="5">
        <f t="shared" si="20"/>
        <v>0</v>
      </c>
      <c r="F40" s="5">
        <f t="shared" si="20"/>
        <v>0</v>
      </c>
      <c r="G40" s="11">
        <f t="shared" si="20"/>
        <v>133.33333333333334</v>
      </c>
      <c r="H40" s="5">
        <f t="shared" si="20"/>
        <v>0</v>
      </c>
      <c r="I40" s="5">
        <f t="shared" si="20"/>
        <v>0</v>
      </c>
      <c r="J40" s="5">
        <f t="shared" si="20"/>
        <v>0</v>
      </c>
    </row>
    <row r="41" spans="1:18" hidden="1" x14ac:dyDescent="0.2">
      <c r="A41" s="13" t="str">
        <f t="shared" si="19"/>
        <v>L-threonine</v>
      </c>
      <c r="B41" s="3"/>
      <c r="C41" s="5">
        <f t="shared" si="20"/>
        <v>86.153846153846146</v>
      </c>
      <c r="D41" s="5">
        <f t="shared" si="20"/>
        <v>0</v>
      </c>
      <c r="E41" s="5">
        <f t="shared" si="20"/>
        <v>0</v>
      </c>
      <c r="F41" s="5">
        <f t="shared" si="20"/>
        <v>0</v>
      </c>
      <c r="G41" s="11">
        <f t="shared" si="20"/>
        <v>0</v>
      </c>
      <c r="H41" s="5">
        <f t="shared" si="20"/>
        <v>0</v>
      </c>
      <c r="I41" s="5">
        <f t="shared" si="20"/>
        <v>0</v>
      </c>
      <c r="J41" s="5">
        <f t="shared" si="20"/>
        <v>0</v>
      </c>
    </row>
    <row r="42" spans="1:18" x14ac:dyDescent="0.2">
      <c r="A42" s="13" t="str">
        <f t="shared" si="19"/>
        <v>L-lysine HCl</v>
      </c>
      <c r="B42" s="3"/>
      <c r="C42" s="5">
        <f t="shared" si="20"/>
        <v>184.61538461538461</v>
      </c>
      <c r="D42" s="5">
        <f t="shared" si="20"/>
        <v>133.32</v>
      </c>
      <c r="E42" s="5">
        <f t="shared" si="20"/>
        <v>133.32</v>
      </c>
      <c r="F42" s="5">
        <f t="shared" si="20"/>
        <v>133.32</v>
      </c>
      <c r="G42" s="11">
        <f t="shared" si="20"/>
        <v>0</v>
      </c>
      <c r="H42" s="5">
        <f t="shared" si="20"/>
        <v>333.30000000000007</v>
      </c>
      <c r="I42" s="5">
        <f t="shared" si="20"/>
        <v>299.97000000000003</v>
      </c>
      <c r="J42" s="5">
        <f t="shared" si="20"/>
        <v>333.3</v>
      </c>
    </row>
    <row r="43" spans="1:18" hidden="1" x14ac:dyDescent="0.2">
      <c r="A43" s="13" t="str">
        <f t="shared" si="19"/>
        <v>DL-Methionine</v>
      </c>
      <c r="B43" s="3"/>
      <c r="C43" s="5">
        <f t="shared" si="20"/>
        <v>106.15384615384616</v>
      </c>
      <c r="D43" s="5">
        <f t="shared" si="20"/>
        <v>0</v>
      </c>
      <c r="E43" s="5">
        <f t="shared" si="20"/>
        <v>0</v>
      </c>
      <c r="F43" s="5">
        <f t="shared" si="20"/>
        <v>0</v>
      </c>
      <c r="G43" s="11">
        <f t="shared" si="20"/>
        <v>0</v>
      </c>
      <c r="H43" s="5">
        <f t="shared" si="20"/>
        <v>0</v>
      </c>
      <c r="I43" s="5">
        <f t="shared" si="20"/>
        <v>0</v>
      </c>
      <c r="J43" s="5">
        <f t="shared" si="20"/>
        <v>0</v>
      </c>
    </row>
    <row r="44" spans="1:18" x14ac:dyDescent="0.2">
      <c r="A44" s="13" t="str">
        <f t="shared" si="19"/>
        <v>Salt</v>
      </c>
      <c r="B44" s="3"/>
      <c r="C44" s="5">
        <f t="shared" si="20"/>
        <v>215.38461538461539</v>
      </c>
      <c r="D44" s="5">
        <f t="shared" si="20"/>
        <v>340</v>
      </c>
      <c r="E44" s="5">
        <f t="shared" si="20"/>
        <v>340</v>
      </c>
      <c r="F44" s="5">
        <f t="shared" si="20"/>
        <v>339.99999999999994</v>
      </c>
      <c r="G44" s="11">
        <f t="shared" si="20"/>
        <v>266.66666666666669</v>
      </c>
      <c r="H44" s="5">
        <f t="shared" si="20"/>
        <v>339.99999999999994</v>
      </c>
      <c r="I44" s="5">
        <f t="shared" si="20"/>
        <v>306</v>
      </c>
      <c r="J44" s="5">
        <f t="shared" si="20"/>
        <v>339.99999999999994</v>
      </c>
    </row>
    <row r="45" spans="1:18" x14ac:dyDescent="0.2">
      <c r="A45" s="13" t="str">
        <f t="shared" si="19"/>
        <v>Phytase 600</v>
      </c>
      <c r="B45" s="3"/>
      <c r="C45" s="5">
        <f t="shared" si="20"/>
        <v>0</v>
      </c>
      <c r="D45" s="5">
        <f t="shared" si="20"/>
        <v>0</v>
      </c>
      <c r="E45" s="5">
        <f t="shared" si="20"/>
        <v>60</v>
      </c>
      <c r="F45" s="5">
        <f t="shared" si="20"/>
        <v>0</v>
      </c>
      <c r="G45" s="11">
        <f t="shared" si="20"/>
        <v>0</v>
      </c>
      <c r="H45" s="5">
        <f t="shared" si="20"/>
        <v>0</v>
      </c>
      <c r="I45" s="5">
        <f t="shared" si="20"/>
        <v>0</v>
      </c>
      <c r="J45" s="5">
        <f t="shared" si="20"/>
        <v>0</v>
      </c>
    </row>
    <row r="46" spans="1:18" x14ac:dyDescent="0.2">
      <c r="A46" s="13" t="str">
        <f t="shared" si="19"/>
        <v>Monocalcium phosphate (21% P)</v>
      </c>
      <c r="B46" s="3"/>
      <c r="C46" s="5">
        <f t="shared" si="20"/>
        <v>630.47619047619048</v>
      </c>
      <c r="D46" s="5">
        <f t="shared" si="20"/>
        <v>460</v>
      </c>
      <c r="E46" s="5">
        <f t="shared" si="20"/>
        <v>380</v>
      </c>
      <c r="F46" s="5">
        <f t="shared" si="20"/>
        <v>459.99999999999994</v>
      </c>
      <c r="G46" s="11">
        <f t="shared" si="20"/>
        <v>880</v>
      </c>
      <c r="H46" s="5">
        <f t="shared" si="20"/>
        <v>10</v>
      </c>
      <c r="I46" s="5">
        <f t="shared" si="20"/>
        <v>9</v>
      </c>
      <c r="J46" s="5">
        <f t="shared" si="20"/>
        <v>9.9999999999999982</v>
      </c>
    </row>
    <row r="47" spans="1:18" x14ac:dyDescent="0.2">
      <c r="A47" s="13" t="str">
        <f t="shared" si="19"/>
        <v>Calcium carbonate</v>
      </c>
      <c r="B47" s="3"/>
      <c r="C47" s="5">
        <f t="shared" si="20"/>
        <v>524.63659147869669</v>
      </c>
      <c r="D47" s="5">
        <f t="shared" si="20"/>
        <v>800</v>
      </c>
      <c r="E47" s="5">
        <f t="shared" si="20"/>
        <v>800</v>
      </c>
      <c r="F47" s="5">
        <f t="shared" si="20"/>
        <v>800</v>
      </c>
      <c r="G47" s="11">
        <f t="shared" si="20"/>
        <v>506.66666666666669</v>
      </c>
      <c r="H47" s="5">
        <f t="shared" si="20"/>
        <v>1000</v>
      </c>
      <c r="I47" s="5">
        <f t="shared" si="20"/>
        <v>900</v>
      </c>
      <c r="J47" s="5">
        <f t="shared" si="20"/>
        <v>1000</v>
      </c>
    </row>
    <row r="48" spans="1:18" x14ac:dyDescent="0.2">
      <c r="A48" s="14" t="str">
        <f>A16</f>
        <v>Carrier</v>
      </c>
      <c r="B48" s="1"/>
      <c r="C48" s="46">
        <f t="shared" ref="C48:J48" si="21">C16/C$17*2000</f>
        <v>6.4256795835743876</v>
      </c>
      <c r="D48" s="46">
        <f t="shared" si="21"/>
        <v>26.680000000000064</v>
      </c>
      <c r="E48" s="46">
        <f t="shared" si="21"/>
        <v>46.680000000000064</v>
      </c>
      <c r="F48" s="46">
        <f t="shared" si="21"/>
        <v>26.680000000000145</v>
      </c>
      <c r="G48" s="12">
        <f t="shared" si="21"/>
        <v>0</v>
      </c>
      <c r="H48" s="46">
        <f t="shared" si="21"/>
        <v>76.699999999999946</v>
      </c>
      <c r="I48" s="46">
        <f t="shared" si="21"/>
        <v>269.03000000000003</v>
      </c>
      <c r="J48" s="46">
        <f t="shared" si="21"/>
        <v>76.699999999999889</v>
      </c>
    </row>
    <row r="49" spans="1:10" x14ac:dyDescent="0.2">
      <c r="A49" s="14" t="s">
        <v>13</v>
      </c>
      <c r="B49" s="1"/>
      <c r="C49" s="46">
        <f t="shared" ref="C49:J49" si="22">SUM(C38:C48)</f>
        <v>2000</v>
      </c>
      <c r="D49" s="46">
        <f t="shared" si="22"/>
        <v>2000</v>
      </c>
      <c r="E49" s="46">
        <f t="shared" si="22"/>
        <v>2000</v>
      </c>
      <c r="F49" s="46">
        <f t="shared" si="22"/>
        <v>2000</v>
      </c>
      <c r="G49" s="15">
        <f t="shared" si="22"/>
        <v>2000.0000000000002</v>
      </c>
      <c r="H49" s="46">
        <f t="shared" si="22"/>
        <v>2000</v>
      </c>
      <c r="I49" s="46">
        <f t="shared" si="22"/>
        <v>2000</v>
      </c>
      <c r="J49" s="46">
        <f t="shared" si="22"/>
        <v>1999.9999999999998</v>
      </c>
    </row>
    <row r="50" spans="1:10" x14ac:dyDescent="0.2">
      <c r="D50" s="47"/>
      <c r="E50" s="47"/>
      <c r="F50" s="47"/>
      <c r="H50" s="47"/>
      <c r="I50" s="47"/>
      <c r="J50" s="47"/>
    </row>
    <row r="51" spans="1:10" x14ac:dyDescent="0.2">
      <c r="D51" s="47"/>
      <c r="E51" s="47"/>
      <c r="F51" s="47"/>
      <c r="H51" s="47"/>
      <c r="I51" s="47"/>
      <c r="J51" s="47"/>
    </row>
    <row r="52" spans="1:10" x14ac:dyDescent="0.2">
      <c r="A52" s="32" t="s">
        <v>18</v>
      </c>
      <c r="D52" s="47"/>
      <c r="E52" s="47"/>
      <c r="F52" s="47"/>
      <c r="H52" s="47"/>
      <c r="I52" s="47"/>
      <c r="J52" s="47"/>
    </row>
    <row r="53" spans="1:10" x14ac:dyDescent="0.2">
      <c r="A53" s="16" t="s">
        <v>0</v>
      </c>
      <c r="B53" s="17"/>
      <c r="C53" s="18" t="s">
        <v>1</v>
      </c>
      <c r="D53" s="48" t="s">
        <v>2</v>
      </c>
      <c r="E53" s="48" t="s">
        <v>3</v>
      </c>
      <c r="F53" s="48" t="s">
        <v>3</v>
      </c>
      <c r="G53" s="19" t="s">
        <v>4</v>
      </c>
      <c r="H53" s="48" t="s">
        <v>2</v>
      </c>
      <c r="I53" s="48" t="s">
        <v>3</v>
      </c>
      <c r="J53" s="48" t="s">
        <v>3</v>
      </c>
    </row>
    <row r="54" spans="1:10" x14ac:dyDescent="0.2">
      <c r="A54" s="9" t="str">
        <f t="shared" ref="A54:A64" si="23">A38</f>
        <v>Vitamin premix with phytase</v>
      </c>
      <c r="B54" s="4"/>
      <c r="C54" s="45">
        <f t="shared" ref="C54:J63" si="24">C5/C$17*6000</f>
        <v>461.53846153846155</v>
      </c>
      <c r="D54" s="45">
        <f t="shared" si="24"/>
        <v>360</v>
      </c>
      <c r="E54" s="45">
        <f t="shared" si="24"/>
        <v>360</v>
      </c>
      <c r="F54" s="45">
        <f t="shared" si="24"/>
        <v>359.99999999999994</v>
      </c>
      <c r="G54" s="42">
        <f t="shared" si="24"/>
        <v>400</v>
      </c>
      <c r="H54" s="45">
        <f t="shared" si="24"/>
        <v>360</v>
      </c>
      <c r="I54" s="45">
        <f t="shared" si="24"/>
        <v>324.00000000000006</v>
      </c>
      <c r="J54" s="45">
        <f t="shared" si="24"/>
        <v>360</v>
      </c>
    </row>
    <row r="55" spans="1:10" x14ac:dyDescent="0.2">
      <c r="A55" s="13" t="str">
        <f t="shared" si="23"/>
        <v>Trace mineral premix</v>
      </c>
      <c r="B55" s="3"/>
      <c r="C55" s="5">
        <f t="shared" si="24"/>
        <v>276.92307692307696</v>
      </c>
      <c r="D55" s="5">
        <f t="shared" si="24"/>
        <v>360</v>
      </c>
      <c r="E55" s="5">
        <f t="shared" si="24"/>
        <v>360</v>
      </c>
      <c r="F55" s="5">
        <f t="shared" si="24"/>
        <v>359.99999999999994</v>
      </c>
      <c r="G55" s="11">
        <f t="shared" si="24"/>
        <v>240</v>
      </c>
      <c r="H55" s="5">
        <f t="shared" si="24"/>
        <v>360</v>
      </c>
      <c r="I55" s="5">
        <f t="shared" si="24"/>
        <v>324.00000000000006</v>
      </c>
      <c r="J55" s="5">
        <f t="shared" si="24"/>
        <v>360</v>
      </c>
    </row>
    <row r="56" spans="1:10" hidden="1" x14ac:dyDescent="0.2">
      <c r="A56" s="13" t="str">
        <f t="shared" si="23"/>
        <v>Sow add pack</v>
      </c>
      <c r="B56" s="3"/>
      <c r="C56" s="5">
        <f t="shared" si="24"/>
        <v>0</v>
      </c>
      <c r="D56" s="5">
        <f t="shared" si="24"/>
        <v>0</v>
      </c>
      <c r="E56" s="5">
        <f t="shared" si="24"/>
        <v>0</v>
      </c>
      <c r="F56" s="5">
        <f t="shared" si="24"/>
        <v>0</v>
      </c>
      <c r="G56" s="11">
        <f t="shared" si="24"/>
        <v>400</v>
      </c>
      <c r="H56" s="5">
        <f t="shared" si="24"/>
        <v>0</v>
      </c>
      <c r="I56" s="5">
        <f t="shared" si="24"/>
        <v>0</v>
      </c>
      <c r="J56" s="5">
        <f t="shared" si="24"/>
        <v>0</v>
      </c>
    </row>
    <row r="57" spans="1:10" hidden="1" x14ac:dyDescent="0.2">
      <c r="A57" s="13" t="str">
        <f t="shared" si="23"/>
        <v>L-threonine</v>
      </c>
      <c r="B57" s="3"/>
      <c r="C57" s="5">
        <f t="shared" si="24"/>
        <v>258.46153846153845</v>
      </c>
      <c r="D57" s="5">
        <f t="shared" si="24"/>
        <v>0</v>
      </c>
      <c r="E57" s="5">
        <f t="shared" si="24"/>
        <v>0</v>
      </c>
      <c r="F57" s="5">
        <f t="shared" si="24"/>
        <v>0</v>
      </c>
      <c r="G57" s="11">
        <f t="shared" si="24"/>
        <v>0</v>
      </c>
      <c r="H57" s="5">
        <f t="shared" si="24"/>
        <v>0</v>
      </c>
      <c r="I57" s="5">
        <f t="shared" si="24"/>
        <v>0</v>
      </c>
      <c r="J57" s="5">
        <f t="shared" si="24"/>
        <v>0</v>
      </c>
    </row>
    <row r="58" spans="1:10" x14ac:dyDescent="0.2">
      <c r="A58" s="13" t="str">
        <f t="shared" si="23"/>
        <v>L-lysine HCl</v>
      </c>
      <c r="B58" s="3"/>
      <c r="C58" s="5">
        <f t="shared" si="24"/>
        <v>553.84615384615392</v>
      </c>
      <c r="D58" s="5">
        <f t="shared" si="24"/>
        <v>399.96</v>
      </c>
      <c r="E58" s="5">
        <f t="shared" si="24"/>
        <v>399.96</v>
      </c>
      <c r="F58" s="5">
        <f t="shared" si="24"/>
        <v>399.96</v>
      </c>
      <c r="G58" s="11">
        <f t="shared" si="24"/>
        <v>0</v>
      </c>
      <c r="H58" s="5">
        <f t="shared" si="24"/>
        <v>999.90000000000009</v>
      </c>
      <c r="I58" s="5">
        <f t="shared" si="24"/>
        <v>899.91000000000008</v>
      </c>
      <c r="J58" s="5">
        <f t="shared" si="24"/>
        <v>999.9</v>
      </c>
    </row>
    <row r="59" spans="1:10" hidden="1" x14ac:dyDescent="0.2">
      <c r="A59" s="13" t="str">
        <f t="shared" si="23"/>
        <v>DL-Methionine</v>
      </c>
      <c r="B59" s="3"/>
      <c r="C59" s="5">
        <f t="shared" si="24"/>
        <v>318.46153846153845</v>
      </c>
      <c r="D59" s="5">
        <f t="shared" si="24"/>
        <v>0</v>
      </c>
      <c r="E59" s="5">
        <f t="shared" si="24"/>
        <v>0</v>
      </c>
      <c r="F59" s="5">
        <f t="shared" si="24"/>
        <v>0</v>
      </c>
      <c r="G59" s="11">
        <f t="shared" si="24"/>
        <v>0</v>
      </c>
      <c r="H59" s="5">
        <f t="shared" si="24"/>
        <v>0</v>
      </c>
      <c r="I59" s="5">
        <f t="shared" si="24"/>
        <v>0</v>
      </c>
      <c r="J59" s="5">
        <f t="shared" si="24"/>
        <v>0</v>
      </c>
    </row>
    <row r="60" spans="1:10" x14ac:dyDescent="0.2">
      <c r="A60" s="13" t="str">
        <f t="shared" si="23"/>
        <v>Salt</v>
      </c>
      <c r="B60" s="3"/>
      <c r="C60" s="5">
        <f t="shared" si="24"/>
        <v>646.15384615384619</v>
      </c>
      <c r="D60" s="5">
        <f t="shared" si="24"/>
        <v>1020.0000000000001</v>
      </c>
      <c r="E60" s="5">
        <f t="shared" si="24"/>
        <v>1020.0000000000001</v>
      </c>
      <c r="F60" s="5">
        <f t="shared" si="24"/>
        <v>1019.9999999999999</v>
      </c>
      <c r="G60" s="11">
        <f t="shared" si="24"/>
        <v>800</v>
      </c>
      <c r="H60" s="5">
        <f t="shared" si="24"/>
        <v>1019.9999999999999</v>
      </c>
      <c r="I60" s="5">
        <f t="shared" si="24"/>
        <v>918</v>
      </c>
      <c r="J60" s="5">
        <f t="shared" si="24"/>
        <v>1019.9999999999999</v>
      </c>
    </row>
    <row r="61" spans="1:10" x14ac:dyDescent="0.2">
      <c r="A61" s="13" t="str">
        <f t="shared" si="23"/>
        <v>Phytase 600</v>
      </c>
      <c r="B61" s="3"/>
      <c r="C61" s="5">
        <f t="shared" si="24"/>
        <v>0</v>
      </c>
      <c r="D61" s="5">
        <f t="shared" si="24"/>
        <v>0</v>
      </c>
      <c r="E61" s="5">
        <f t="shared" si="24"/>
        <v>180</v>
      </c>
      <c r="F61" s="5">
        <f t="shared" si="24"/>
        <v>0</v>
      </c>
      <c r="G61" s="11">
        <f t="shared" si="24"/>
        <v>0</v>
      </c>
      <c r="H61" s="5">
        <f t="shared" si="24"/>
        <v>0</v>
      </c>
      <c r="I61" s="5">
        <f t="shared" si="24"/>
        <v>0</v>
      </c>
      <c r="J61" s="5">
        <f t="shared" si="24"/>
        <v>0</v>
      </c>
    </row>
    <row r="62" spans="1:10" x14ac:dyDescent="0.2">
      <c r="A62" s="13" t="str">
        <f t="shared" si="23"/>
        <v>Monocalcium phosphate (21% P)</v>
      </c>
      <c r="B62" s="3"/>
      <c r="C62" s="5">
        <f t="shared" si="24"/>
        <v>1891.4285714285716</v>
      </c>
      <c r="D62" s="5">
        <f t="shared" si="24"/>
        <v>1380</v>
      </c>
      <c r="E62" s="5">
        <f t="shared" si="24"/>
        <v>1140</v>
      </c>
      <c r="F62" s="5">
        <f t="shared" si="24"/>
        <v>1380</v>
      </c>
      <c r="G62" s="11">
        <f t="shared" si="24"/>
        <v>2640</v>
      </c>
      <c r="H62" s="5">
        <f t="shared" si="24"/>
        <v>30</v>
      </c>
      <c r="I62" s="5">
        <f t="shared" si="24"/>
        <v>26.999999999999996</v>
      </c>
      <c r="J62" s="5">
        <f t="shared" si="24"/>
        <v>29.999999999999996</v>
      </c>
    </row>
    <row r="63" spans="1:10" x14ac:dyDescent="0.2">
      <c r="A63" s="13" t="str">
        <f t="shared" si="23"/>
        <v>Calcium carbonate</v>
      </c>
      <c r="B63" s="3"/>
      <c r="C63" s="5">
        <f t="shared" si="24"/>
        <v>1573.9097744360899</v>
      </c>
      <c r="D63" s="5">
        <f t="shared" si="24"/>
        <v>2400</v>
      </c>
      <c r="E63" s="5">
        <f t="shared" si="24"/>
        <v>2400</v>
      </c>
      <c r="F63" s="5">
        <f t="shared" si="24"/>
        <v>2400</v>
      </c>
      <c r="G63" s="11">
        <f t="shared" si="24"/>
        <v>1520.0000000000002</v>
      </c>
      <c r="H63" s="5">
        <f t="shared" si="24"/>
        <v>3000</v>
      </c>
      <c r="I63" s="5">
        <f t="shared" si="24"/>
        <v>2700</v>
      </c>
      <c r="J63" s="5">
        <f t="shared" si="24"/>
        <v>3000</v>
      </c>
    </row>
    <row r="64" spans="1:10" x14ac:dyDescent="0.2">
      <c r="A64" s="14" t="str">
        <f t="shared" si="23"/>
        <v>Carrier</v>
      </c>
      <c r="B64" s="1"/>
      <c r="C64" s="46">
        <f t="shared" ref="C64:J64" si="25">C16/C$17*6000</f>
        <v>19.277038750723165</v>
      </c>
      <c r="D64" s="46">
        <f t="shared" si="25"/>
        <v>80.040000000000191</v>
      </c>
      <c r="E64" s="46">
        <f t="shared" si="25"/>
        <v>140.04000000000019</v>
      </c>
      <c r="F64" s="46">
        <f t="shared" si="25"/>
        <v>80.040000000000433</v>
      </c>
      <c r="G64" s="12">
        <f t="shared" si="25"/>
        <v>0</v>
      </c>
      <c r="H64" s="46">
        <f t="shared" si="25"/>
        <v>230.09999999999985</v>
      </c>
      <c r="I64" s="46">
        <f t="shared" si="25"/>
        <v>807.09000000000015</v>
      </c>
      <c r="J64" s="46">
        <f t="shared" si="25"/>
        <v>230.09999999999968</v>
      </c>
    </row>
    <row r="65" spans="1:10" x14ac:dyDescent="0.2">
      <c r="A65" s="14" t="s">
        <v>13</v>
      </c>
      <c r="B65" s="1"/>
      <c r="C65" s="2">
        <f t="shared" ref="C65:J65" si="26">SUM(C54:C64)</f>
        <v>6000.0000000000009</v>
      </c>
      <c r="D65" s="46">
        <f t="shared" si="26"/>
        <v>6000</v>
      </c>
      <c r="E65" s="46">
        <f t="shared" si="26"/>
        <v>6000</v>
      </c>
      <c r="F65" s="46">
        <f t="shared" si="26"/>
        <v>6000</v>
      </c>
      <c r="G65" s="15">
        <f t="shared" si="26"/>
        <v>6000</v>
      </c>
      <c r="H65" s="46">
        <f t="shared" si="26"/>
        <v>5999.9999999999991</v>
      </c>
      <c r="I65" s="46">
        <f t="shared" si="26"/>
        <v>6000</v>
      </c>
      <c r="J65" s="46">
        <f t="shared" si="26"/>
        <v>5999.9999999999991</v>
      </c>
    </row>
  </sheetData>
  <pageMargins left="0.75" right="1.27" top="1" bottom="3.87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Base mix phytase 2007 change</vt:lpstr>
      <vt:lpstr>Base mix phytase 2007 conc PM</vt:lpstr>
      <vt:lpstr>Base mix</vt:lpstr>
      <vt:lpstr>Higher phytase Base mix DDGS</vt:lpstr>
      <vt:lpstr>'Base mix'!Print_Area</vt:lpstr>
      <vt:lpstr>'Base mix phytase 2007 change'!Print_Area</vt:lpstr>
      <vt:lpstr>'Base mix phytase 2007 conc PM'!Print_Area</vt:lpstr>
      <vt:lpstr>'Higher phytase Base mix DDGS'!Print_Area</vt:lpstr>
    </vt:vector>
  </TitlesOfParts>
  <Company>Gateway 2000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Gateway Authorized Customer</dc:creator>
  <cp:lastModifiedBy>Michael Tokach</cp:lastModifiedBy>
  <cp:lastPrinted>2009-10-07T17:58:20Z</cp:lastPrinted>
  <dcterms:created xsi:type="dcterms:W3CDTF">1996-11-14T16:21:27Z</dcterms:created>
  <dcterms:modified xsi:type="dcterms:W3CDTF">2022-01-26T18:04:19Z</dcterms:modified>
</cp:coreProperties>
</file>