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280" windowHeight="6480" tabRatio="617" activeTab="0"/>
  </bookViews>
  <sheets>
    <sheet name="Calculator" sheetId="1" r:id="rId1"/>
    <sheet name="Nutrients" sheetId="2" state="hidden" r:id="rId2"/>
    <sheet name="Gf diets" sheetId="3" state="hidden" r:id="rId3"/>
  </sheets>
  <externalReferences>
    <externalReference r:id="rId6"/>
  </externalReferences>
  <definedNames>
    <definedName name="Drug_costs_per_gram">'[1]Feed drugs'!$A$2:$J$19</definedName>
    <definedName name="_xlnm.Print_Area" localSheetId="2">'Gf diets'!$A$2:$G$114</definedName>
    <definedName name="_xlnm.Print_Titles" localSheetId="2">'Gf diets'!$A:$A</definedName>
  </definedNames>
  <calcPr fullCalcOnLoad="1"/>
</workbook>
</file>

<file path=xl/sharedStrings.xml><?xml version="1.0" encoding="utf-8"?>
<sst xmlns="http://schemas.openxmlformats.org/spreadsheetml/2006/main" count="250" uniqueCount="192">
  <si>
    <t>Milo</t>
  </si>
  <si>
    <t>Corn</t>
  </si>
  <si>
    <t>Barley</t>
  </si>
  <si>
    <t>Hard Red Winter Wheat</t>
  </si>
  <si>
    <t>Soybean meal, 46.5%</t>
  </si>
  <si>
    <t>Soybean meal, 44%</t>
  </si>
  <si>
    <t>Spray-dried blood meal</t>
  </si>
  <si>
    <t>Select Menhaden Fish Meal</t>
  </si>
  <si>
    <t>Spray-dried Porcine plasma</t>
  </si>
  <si>
    <t>Spray Dried Whey</t>
  </si>
  <si>
    <t>Limestone</t>
  </si>
  <si>
    <t>Lysine HCl</t>
  </si>
  <si>
    <t>DL-Methionine</t>
  </si>
  <si>
    <t>Choice White Grease</t>
  </si>
  <si>
    <t>Lactose</t>
  </si>
  <si>
    <t>Lysine</t>
  </si>
  <si>
    <t>Isoleucine</t>
  </si>
  <si>
    <t>Leucine</t>
  </si>
  <si>
    <t>Methionine</t>
  </si>
  <si>
    <t>Threonine</t>
  </si>
  <si>
    <t>Tryptophan</t>
  </si>
  <si>
    <t>Valine</t>
  </si>
  <si>
    <t>ME, kcal/kg</t>
  </si>
  <si>
    <t>Protein, %</t>
  </si>
  <si>
    <t>Calcium, %</t>
  </si>
  <si>
    <t>Phosphorus, %</t>
  </si>
  <si>
    <t>Available phosphorus, %</t>
  </si>
  <si>
    <t>Ingredient</t>
  </si>
  <si>
    <t>Salt</t>
  </si>
  <si>
    <t>Trace mineral premix</t>
  </si>
  <si>
    <t>TOTAL</t>
  </si>
  <si>
    <t>Isoleucine:Lysine ratio, %</t>
  </si>
  <si>
    <t>Leucine:Lysine ratio, %</t>
  </si>
  <si>
    <t>Methionine:lysine ratio, %</t>
  </si>
  <si>
    <t>Met &amp; Cys:Lysine ratio, %</t>
  </si>
  <si>
    <t>Threonine:Lysine ratio, %</t>
  </si>
  <si>
    <t>Tryptophan:lysine ratio, %</t>
  </si>
  <si>
    <t>Valine:Lysine ratio, %</t>
  </si>
  <si>
    <t>ME, kcal/lb</t>
  </si>
  <si>
    <t>Monocalcium Phosphate, 21% P</t>
  </si>
  <si>
    <t>Dicalcium Phosphate, 18.5% P</t>
  </si>
  <si>
    <t>Cost/lb</t>
  </si>
  <si>
    <t>Cost/ton</t>
  </si>
  <si>
    <t>Cost with processing</t>
  </si>
  <si>
    <t>Cystine</t>
  </si>
  <si>
    <t>Apparent Digestible amino acids</t>
  </si>
  <si>
    <t>Sow add pack</t>
  </si>
  <si>
    <t>Zinc oxide</t>
  </si>
  <si>
    <t>Grind, Mix and Delivey fee</t>
  </si>
  <si>
    <t>/ton</t>
  </si>
  <si>
    <t>High oil corn</t>
  </si>
  <si>
    <t>Soy Hulls</t>
  </si>
  <si>
    <t>Isoleucine:lysine ratio, %</t>
  </si>
  <si>
    <t>Leucine:lysine ratio, %</t>
  </si>
  <si>
    <t>Met &amp; Cys:lysine ratio, %</t>
  </si>
  <si>
    <t>Threonine:lysine ratio, %</t>
  </si>
  <si>
    <t>Valine:lysine ratio, %</t>
  </si>
  <si>
    <t>Available phosphorus equiv, %</t>
  </si>
  <si>
    <t>Vitamin premix with phytase</t>
  </si>
  <si>
    <t>NCKP soybean meal</t>
  </si>
  <si>
    <t>DairyLac 80 or deproteinized whey</t>
  </si>
  <si>
    <t>L-Threonine</t>
  </si>
  <si>
    <t>Avail P:calorie ratio g/mcal</t>
  </si>
  <si>
    <t>Wheat Middlings</t>
  </si>
  <si>
    <t>NE NRC, kcal/kg</t>
  </si>
  <si>
    <t>NE NRC, kcal/lb</t>
  </si>
  <si>
    <t>Wheat Bran</t>
  </si>
  <si>
    <t>NE Noblet Sow, kcal/lb</t>
  </si>
  <si>
    <t>NE Noblet Grow/Finish, kcal/lb</t>
  </si>
  <si>
    <t>NE Noblet Sow, kcal/kg</t>
  </si>
  <si>
    <t>Numbers in red are estimated values and not book values</t>
  </si>
  <si>
    <t>L-Tryptophan</t>
  </si>
  <si>
    <t>Methionine hydroxy analog</t>
  </si>
  <si>
    <t>Corn starch</t>
  </si>
  <si>
    <t>Barrow feed budget, lb/pig</t>
  </si>
  <si>
    <t>Gilt feed budget, lb/pig</t>
  </si>
  <si>
    <t>Barrow Weight Range</t>
  </si>
  <si>
    <t>Paylean, 9 g/lb</t>
  </si>
  <si>
    <t>Diet 1</t>
  </si>
  <si>
    <t>Diet 2</t>
  </si>
  <si>
    <t>Diet 3</t>
  </si>
  <si>
    <t>Diet 4</t>
  </si>
  <si>
    <t>Diet 5</t>
  </si>
  <si>
    <t>Gilt feed cost, $/pig</t>
  </si>
  <si>
    <t>Barrow feed cost, $/pig</t>
  </si>
  <si>
    <t>Meat and Bone meal</t>
  </si>
  <si>
    <t>DCAD</t>
  </si>
  <si>
    <t>Calcium Chloride</t>
  </si>
  <si>
    <t>Potassium Chloride</t>
  </si>
  <si>
    <t>Avail P, %</t>
  </si>
  <si>
    <t>Availability of Phos, %</t>
  </si>
  <si>
    <t>Apparent Digestibility of amino acids, %</t>
  </si>
  <si>
    <t>True Digestibility of amino acids, %</t>
  </si>
  <si>
    <t>Apparent Digestibility amino acids, %</t>
  </si>
  <si>
    <t>True Digestibility amino acids, %</t>
  </si>
  <si>
    <t>Developer base mix</t>
  </si>
  <si>
    <t>Extruded Soy Protein Concentrate</t>
  </si>
  <si>
    <t>Pulverized Oat Groats</t>
  </si>
  <si>
    <t>Extra ingredient 2</t>
  </si>
  <si>
    <t>Extra ingredient 3</t>
  </si>
  <si>
    <t>Extra ingredient 4</t>
  </si>
  <si>
    <t>Extra ingredient 5</t>
  </si>
  <si>
    <t>Extra ingredient 6</t>
  </si>
  <si>
    <t>NE Noblet GF, kcal/kg</t>
  </si>
  <si>
    <t>Cysteine</t>
  </si>
  <si>
    <t>Required TID Lys:Cal Ratio</t>
  </si>
  <si>
    <t>Calculated TID Lysine Required, %</t>
  </si>
  <si>
    <t>Other ingredients TID Lysine, %</t>
  </si>
  <si>
    <t>TID Lysine, %</t>
  </si>
  <si>
    <t>Total lysine, %</t>
  </si>
  <si>
    <t>TID Isoleucine:lysine ratio, %</t>
  </si>
  <si>
    <t>TID Leucine:lysine ratio, %</t>
  </si>
  <si>
    <t>TID Methionine:lysine ratio, %</t>
  </si>
  <si>
    <t>TID Met &amp; Cys:lysine ratio, %</t>
  </si>
  <si>
    <t>TID Threonine:lysine ratio, %</t>
  </si>
  <si>
    <t>TID Tryptophan:lysine ratio, %</t>
  </si>
  <si>
    <t>Total amino acid ratios</t>
  </si>
  <si>
    <t>TID Valine:lysine ratio, %</t>
  </si>
  <si>
    <t>TID Lysine:ME ratio, g/Mcal</t>
  </si>
  <si>
    <t>Total Lysine:ME ratio, g/mcal</t>
  </si>
  <si>
    <t>TID Lysine:NE ratio, g/mcal</t>
  </si>
  <si>
    <t>Targets</t>
  </si>
  <si>
    <t>Other nutrients, calculated</t>
  </si>
  <si>
    <t>- Available P, % (Replacements)</t>
  </si>
  <si>
    <t>- Available P, % (Terminal)</t>
  </si>
  <si>
    <t>- Avail P:ME ratio g/mcal (terminal)</t>
  </si>
  <si>
    <t>- Avail P:ME ratio g/mcal (Replacements)</t>
  </si>
  <si>
    <t>- TID Isoleucine:lysine ratio, %</t>
  </si>
  <si>
    <t>- TID Met &amp; Cys:lysine ratio, %</t>
  </si>
  <si>
    <t>- TID Threonine:lysine ratio, %</t>
  </si>
  <si>
    <t>- TID Tryptophan:lysine ratio, %</t>
  </si>
  <si>
    <t>- TID Valine:lysine ratio, %</t>
  </si>
  <si>
    <t>- TID Leucine:lysine ratio, %</t>
  </si>
  <si>
    <t>- TID Methionine:lysine ratio, %</t>
  </si>
  <si>
    <t>Ether extract, %</t>
  </si>
  <si>
    <t>Crude fiber, %</t>
  </si>
  <si>
    <t>Lactose, %</t>
  </si>
  <si>
    <t>Iodine value</t>
  </si>
  <si>
    <t>Lysine:CP ratio</t>
  </si>
  <si>
    <t>- Ca:P ratio, Minimum</t>
  </si>
  <si>
    <t>- Ca:P ratio, Maximum</t>
  </si>
  <si>
    <t>- Lysine:CP ratio, Maximum</t>
  </si>
  <si>
    <t>Crude fat, %</t>
  </si>
  <si>
    <t>IV value of diet</t>
  </si>
  <si>
    <t>IV value of product, estimate</t>
  </si>
  <si>
    <t>Linoleic acid, %</t>
  </si>
  <si>
    <t>DE NRC, kcal/kg</t>
  </si>
  <si>
    <t>DE NRC, kcal/lb</t>
  </si>
  <si>
    <t>Antibiotic 1</t>
  </si>
  <si>
    <t>Antibiotic 2</t>
  </si>
  <si>
    <t>Antibiotic 3</t>
  </si>
  <si>
    <t>Antibiotic 4</t>
  </si>
  <si>
    <t>Copper sulfate</t>
  </si>
  <si>
    <t>Phytase, FTU/lb</t>
  </si>
  <si>
    <t>Alfalfa meal, dehy</t>
  </si>
  <si>
    <t>Bakery byproduct</t>
  </si>
  <si>
    <t>ratio line</t>
  </si>
  <si>
    <t>DDGS, NRC</t>
  </si>
  <si>
    <t>Spray-dried blood cells</t>
  </si>
  <si>
    <t>Canola meal</t>
  </si>
  <si>
    <t>Hominy Feed</t>
  </si>
  <si>
    <t>Dried skim milk</t>
  </si>
  <si>
    <t>Peas</t>
  </si>
  <si>
    <t>Poultry meal</t>
  </si>
  <si>
    <t>Soybeans, full fat</t>
  </si>
  <si>
    <t>Beef Tallow</t>
  </si>
  <si>
    <t>Restaurant grease</t>
  </si>
  <si>
    <t>Soybean oil</t>
  </si>
  <si>
    <t>Na, %</t>
  </si>
  <si>
    <t>Cl, %</t>
  </si>
  <si>
    <t>K, %</t>
  </si>
  <si>
    <t>Noblet</t>
  </si>
  <si>
    <t xml:space="preserve"> - NRC values = first option; French book = second option</t>
  </si>
  <si>
    <t>Acidifier</t>
  </si>
  <si>
    <t>Vitamin E, 20,000 IU</t>
  </si>
  <si>
    <t>Phase 2 supplement A</t>
  </si>
  <si>
    <t>Phase 2 supplement B</t>
  </si>
  <si>
    <t>Phase 2 supplement C</t>
  </si>
  <si>
    <t>Phase 2 supplement D</t>
  </si>
  <si>
    <t>DDGS, lys:CP &gt; 2.8</t>
  </si>
  <si>
    <t>2007 Grow-finish base mix</t>
  </si>
  <si>
    <t>2007 Starter base mix</t>
  </si>
  <si>
    <t>2007 Sow base mix</t>
  </si>
  <si>
    <t>Weight Range</t>
  </si>
  <si>
    <t>Price, $</t>
  </si>
  <si>
    <t xml:space="preserve"> $/bu</t>
  </si>
  <si>
    <t>Soybean meal</t>
  </si>
  <si>
    <t xml:space="preserve"> $/ton</t>
  </si>
  <si>
    <t>Meat and Bone Meal</t>
  </si>
  <si>
    <t>Monocalcium</t>
  </si>
  <si>
    <t>Meat and Bone Meal Price Calculator</t>
  </si>
  <si>
    <t>Savings per pig with Meat and Bone meal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</si>
</sst>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.00"/>
    <numFmt numFmtId="167" formatCode="0.000"/>
    <numFmt numFmtId="168" formatCode="0.0000"/>
    <numFmt numFmtId="169" formatCode="0.0%"/>
    <numFmt numFmtId="170" formatCode="_(* #,##0.0_);_(* \(#,##0.0\);_(* &quot;-&quot;??_);_(@_)"/>
    <numFmt numFmtId="171" formatCode="0.00000"/>
    <numFmt numFmtId="172" formatCode="0.000000"/>
    <numFmt numFmtId="173" formatCode="0.0000000"/>
    <numFmt numFmtId="174" formatCode="0.000000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&quot;$&quot;* #,##0.000_);_(&quot;$&quot;* \(#,##0.000\);_(&quot;$&quot;* &quot;-&quot;??_);_(@_)"/>
    <numFmt numFmtId="178" formatCode="_(* #,##0.000_);_(* \(#,##0.000\);_(* &quot;-&quot;???_);_(@_)"/>
    <numFmt numFmtId="179" formatCode="_(* #,##0.000_);_(* \(#,##0.000\);_(* &quot;-&quot;??_);_(@_)"/>
    <numFmt numFmtId="180" formatCode="_(* #,##0.0_);_(* \(#,##0.0\);_(* &quot;-&quot;?_);_(@_)"/>
    <numFmt numFmtId="181" formatCode="0.000000000"/>
    <numFmt numFmtId="182" formatCode="0.0000000000"/>
    <numFmt numFmtId="183" formatCode="0.00000000000"/>
    <numFmt numFmtId="184" formatCode="_(* #,##0.0000_);_(* \(#,##0.0000\);_(* &quot;-&quot;??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"/>
    <numFmt numFmtId="190" formatCode="&quot;$&quot;#,##0.00"/>
    <numFmt numFmtId="191" formatCode="&quot;$&quot;#,##0.0"/>
    <numFmt numFmtId="192" formatCode="&quot;$&quot;#,##0"/>
    <numFmt numFmtId="193" formatCode="_(* #,##0.0000_);_(* \(#,##0.0000\);_(* &quot;-&quot;??_);_(@_)"/>
    <numFmt numFmtId="194" formatCode="#,##0.0_);\(#,##0.0\)"/>
    <numFmt numFmtId="195" formatCode="_(&quot;$&quot;* #,##0.0000_);_(&quot;$&quot;* \(#,##0.0000\);_(&quot;$&quot;* &quot;-&quot;??_);_(@_)"/>
    <numFmt numFmtId="196" formatCode="#,##0.000"/>
    <numFmt numFmtId="197" formatCode="#,##0.00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0"/>
    </font>
    <font>
      <sz val="8"/>
      <name val="Arial"/>
      <family val="0"/>
    </font>
    <font>
      <sz val="14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 quotePrefix="1">
      <alignment horizontal="left"/>
    </xf>
    <xf numFmtId="164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 quotePrefix="1">
      <alignment horizontal="left"/>
    </xf>
    <xf numFmtId="164" fontId="0" fillId="0" borderId="0" xfId="0" applyNumberFormat="1" applyAlignment="1" quotePrefix="1">
      <alignment horizontal="left"/>
    </xf>
    <xf numFmtId="166" fontId="0" fillId="0" borderId="0" xfId="0" applyNumberFormat="1" applyAlignment="1">
      <alignment/>
    </xf>
    <xf numFmtId="0" fontId="0" fillId="0" borderId="3" xfId="0" applyBorder="1" applyAlignment="1">
      <alignment horizontal="centerContinuous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centerContinuous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43" fontId="0" fillId="0" borderId="0" xfId="15" applyNumberFormat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 quotePrefix="1">
      <alignment horizontal="left"/>
    </xf>
    <xf numFmtId="2" fontId="0" fillId="0" borderId="0" xfId="0" applyNumberFormat="1" applyFont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 quotePrefix="1">
      <alignment horizontal="left"/>
    </xf>
    <xf numFmtId="0" fontId="0" fillId="0" borderId="0" xfId="0" applyAlignment="1" applyProtection="1">
      <alignment/>
      <protection locked="0"/>
    </xf>
    <xf numFmtId="0" fontId="0" fillId="2" borderId="0" xfId="0" applyFill="1" applyBorder="1" applyAlignment="1" applyProtection="1">
      <alignment horizontal="centerContinuous"/>
      <protection locked="0"/>
    </xf>
    <xf numFmtId="0" fontId="0" fillId="2" borderId="0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9" fontId="5" fillId="0" borderId="0" xfId="21" applyFont="1" applyAlignment="1">
      <alignment/>
    </xf>
    <xf numFmtId="0" fontId="7" fillId="0" borderId="0" xfId="0" applyFont="1" applyAlignment="1">
      <alignment/>
    </xf>
    <xf numFmtId="0" fontId="1" fillId="0" borderId="3" xfId="0" applyFont="1" applyBorder="1" applyAlignment="1" applyProtection="1">
      <alignment horizontal="center" wrapText="1"/>
      <protection locked="0"/>
    </xf>
    <xf numFmtId="44" fontId="0" fillId="2" borderId="4" xfId="17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ill="1" applyBorder="1" applyAlignment="1">
      <alignment/>
    </xf>
    <xf numFmtId="9" fontId="0" fillId="0" borderId="0" xfId="21" applyAlignment="1">
      <alignment horizontal="center"/>
    </xf>
    <xf numFmtId="1" fontId="0" fillId="2" borderId="0" xfId="0" applyNumberFormat="1" applyFill="1" applyBorder="1" applyAlignment="1" applyProtection="1">
      <alignment horizontal="center"/>
      <protection locked="0"/>
    </xf>
    <xf numFmtId="0" fontId="0" fillId="0" borderId="0" xfId="0" applyAlignment="1" quotePrefix="1">
      <alignment/>
    </xf>
    <xf numFmtId="0" fontId="10" fillId="0" borderId="3" xfId="0" applyFont="1" applyBorder="1" applyAlignment="1">
      <alignment horizontal="left"/>
    </xf>
    <xf numFmtId="0" fontId="0" fillId="0" borderId="3" xfId="0" applyBorder="1" applyAlignment="1">
      <alignment/>
    </xf>
    <xf numFmtId="0" fontId="0" fillId="3" borderId="5" xfId="0" applyFill="1" applyBorder="1" applyAlignment="1">
      <alignment horizontal="centerContinuous"/>
    </xf>
    <xf numFmtId="0" fontId="0" fillId="3" borderId="6" xfId="0" applyFill="1" applyBorder="1" applyAlignment="1">
      <alignment horizontal="centerContinuous"/>
    </xf>
    <xf numFmtId="0" fontId="0" fillId="3" borderId="7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0" borderId="6" xfId="0" applyBorder="1" applyAlignment="1">
      <alignment/>
    </xf>
    <xf numFmtId="0" fontId="1" fillId="0" borderId="6" xfId="0" applyFont="1" applyBorder="1" applyAlignment="1" applyProtection="1">
      <alignment horizontal="center" wrapText="1"/>
      <protection locked="0"/>
    </xf>
    <xf numFmtId="177" fontId="0" fillId="2" borderId="6" xfId="17" applyNumberFormat="1" applyFill="1" applyBorder="1" applyAlignment="1" applyProtection="1">
      <alignment horizontal="center"/>
      <protection locked="0"/>
    </xf>
    <xf numFmtId="2" fontId="0" fillId="0" borderId="6" xfId="0" applyNumberFormat="1" applyBorder="1" applyAlignment="1" applyProtection="1">
      <alignment horizontal="center"/>
      <protection locked="0"/>
    </xf>
    <xf numFmtId="1" fontId="0" fillId="0" borderId="6" xfId="0" applyNumberFormat="1" applyBorder="1" applyAlignment="1" applyProtection="1">
      <alignment horizontal="center"/>
      <protection locked="0"/>
    </xf>
    <xf numFmtId="9" fontId="0" fillId="0" borderId="6" xfId="2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2" fontId="0" fillId="0" borderId="6" xfId="21" applyNumberFormat="1" applyBorder="1" applyAlignment="1" applyProtection="1">
      <alignment horizontal="center"/>
      <protection locked="0"/>
    </xf>
    <xf numFmtId="0" fontId="1" fillId="0" borderId="6" xfId="0" applyFont="1" applyBorder="1" applyAlignment="1" applyProtection="1" quotePrefix="1">
      <alignment horizontal="center" wrapText="1"/>
      <protection locked="0"/>
    </xf>
    <xf numFmtId="9" fontId="7" fillId="0" borderId="6" xfId="21" applyFont="1" applyBorder="1" applyAlignment="1" applyProtection="1">
      <alignment horizontal="center"/>
      <protection locked="0"/>
    </xf>
    <xf numFmtId="1" fontId="0" fillId="0" borderId="6" xfId="0" applyNumberForma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0" fillId="0" borderId="6" xfId="0" applyFont="1" applyBorder="1" applyAlignment="1" applyProtection="1" quotePrefix="1">
      <alignment horizontal="left" wrapText="1"/>
      <protection locked="0"/>
    </xf>
    <xf numFmtId="9" fontId="5" fillId="0" borderId="6" xfId="21" applyFont="1" applyBorder="1" applyAlignment="1" applyProtection="1">
      <alignment horizontal="center"/>
      <protection locked="0"/>
    </xf>
    <xf numFmtId="9" fontId="6" fillId="0" borderId="6" xfId="2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1" fontId="5" fillId="0" borderId="6" xfId="0" applyNumberFormat="1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Alignment="1" quotePrefix="1">
      <alignment horizontal="left"/>
    </xf>
    <xf numFmtId="164" fontId="0" fillId="0" borderId="6" xfId="0" applyNumberFormat="1" applyBorder="1" applyAlignment="1" applyProtection="1">
      <alignment horizontal="center"/>
      <protection locked="0"/>
    </xf>
    <xf numFmtId="9" fontId="0" fillId="0" borderId="6" xfId="0" applyNumberForma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left" wrapText="1"/>
      <protection locked="0"/>
    </xf>
    <xf numFmtId="9" fontId="5" fillId="0" borderId="6" xfId="21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2" fontId="0" fillId="0" borderId="6" xfId="0" applyNumberFormat="1" applyBorder="1" applyAlignment="1">
      <alignment horizontal="center"/>
    </xf>
    <xf numFmtId="9" fontId="0" fillId="0" borderId="6" xfId="21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9" fontId="0" fillId="0" borderId="6" xfId="21" applyBorder="1" applyAlignment="1">
      <alignment horizontal="center"/>
    </xf>
    <xf numFmtId="0" fontId="0" fillId="0" borderId="6" xfId="0" applyFont="1" applyFill="1" applyBorder="1" applyAlignment="1" applyProtection="1">
      <alignment horizontal="left" wrapText="1"/>
      <protection locked="0"/>
    </xf>
    <xf numFmtId="177" fontId="0" fillId="2" borderId="3" xfId="17" applyNumberFormat="1" applyFill="1" applyBorder="1" applyAlignment="1" applyProtection="1">
      <alignment horizontal="center"/>
      <protection locked="0"/>
    </xf>
    <xf numFmtId="2" fontId="0" fillId="0" borderId="3" xfId="0" applyNumberFormat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9" fontId="0" fillId="0" borderId="3" xfId="2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2" fontId="0" fillId="0" borderId="3" xfId="21" applyNumberFormat="1" applyBorder="1" applyAlignment="1" applyProtection="1">
      <alignment horizontal="center"/>
      <protection locked="0"/>
    </xf>
    <xf numFmtId="0" fontId="0" fillId="0" borderId="1" xfId="0" applyBorder="1" applyAlignment="1">
      <alignment wrapText="1"/>
    </xf>
    <xf numFmtId="176" fontId="0" fillId="4" borderId="3" xfId="17" applyNumberFormat="1" applyFill="1" applyBorder="1" applyAlignment="1">
      <alignment horizontal="center"/>
    </xf>
    <xf numFmtId="2" fontId="7" fillId="0" borderId="0" xfId="21" applyNumberFormat="1" applyFont="1" applyAlignment="1">
      <alignment horizontal="center"/>
    </xf>
    <xf numFmtId="9" fontId="7" fillId="0" borderId="0" xfId="21" applyFont="1" applyAlignment="1">
      <alignment horizontal="center"/>
    </xf>
    <xf numFmtId="3" fontId="7" fillId="0" borderId="0" xfId="21" applyNumberFormat="1" applyFont="1" applyAlignment="1">
      <alignment horizontal="center"/>
    </xf>
    <xf numFmtId="189" fontId="7" fillId="0" borderId="0" xfId="21" applyNumberFormat="1" applyFont="1" applyAlignment="1">
      <alignment horizontal="center"/>
    </xf>
    <xf numFmtId="4" fontId="7" fillId="0" borderId="0" xfId="21" applyNumberFormat="1" applyFont="1" applyAlignment="1">
      <alignment horizontal="center"/>
    </xf>
    <xf numFmtId="190" fontId="7" fillId="0" borderId="0" xfId="21" applyNumberFormat="1" applyFont="1" applyAlignment="1">
      <alignment horizontal="center"/>
    </xf>
    <xf numFmtId="190" fontId="7" fillId="0" borderId="0" xfId="17" applyNumberFormat="1" applyFont="1" applyAlignment="1">
      <alignment horizontal="center"/>
    </xf>
    <xf numFmtId="39" fontId="0" fillId="0" borderId="0" xfId="0" applyNumberFormat="1" applyAlignment="1">
      <alignment horizontal="center"/>
    </xf>
    <xf numFmtId="39" fontId="6" fillId="2" borderId="4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190" fontId="11" fillId="0" borderId="0" xfId="17" applyNumberFormat="1" applyFont="1" applyAlignment="1">
      <alignment horizontal="center"/>
    </xf>
    <xf numFmtId="164" fontId="5" fillId="0" borderId="0" xfId="0" applyNumberFormat="1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" fontId="10" fillId="0" borderId="0" xfId="0" applyNumberFormat="1" applyFont="1" applyAlignment="1">
      <alignment/>
    </xf>
    <xf numFmtId="2" fontId="0" fillId="0" borderId="0" xfId="0" applyNumberFormat="1" applyAlignment="1" quotePrefix="1">
      <alignment/>
    </xf>
    <xf numFmtId="164" fontId="0" fillId="0" borderId="6" xfId="0" applyNumberForma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Font="1" applyBorder="1" applyAlignment="1">
      <alignment horizontal="center"/>
    </xf>
    <xf numFmtId="9" fontId="0" fillId="0" borderId="6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" fontId="0" fillId="0" borderId="6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applyProtection="1">
      <alignment horizontal="center"/>
      <protection locked="0"/>
    </xf>
    <xf numFmtId="9" fontId="12" fillId="0" borderId="6" xfId="21" applyFont="1" applyBorder="1" applyAlignment="1" applyProtection="1">
      <alignment horizontal="center"/>
      <protection locked="0"/>
    </xf>
    <xf numFmtId="1" fontId="12" fillId="0" borderId="6" xfId="0" applyNumberFormat="1" applyFont="1" applyBorder="1" applyAlignment="1" applyProtection="1">
      <alignment horizontal="center"/>
      <protection locked="0"/>
    </xf>
    <xf numFmtId="164" fontId="12" fillId="0" borderId="6" xfId="0" applyNumberFormat="1" applyFont="1" applyBorder="1" applyAlignment="1" applyProtection="1">
      <alignment horizontal="center"/>
      <protection locked="0"/>
    </xf>
    <xf numFmtId="0" fontId="12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" fillId="0" borderId="4" xfId="0" applyNumberFormat="1" applyFont="1" applyFill="1" applyBorder="1" applyAlignment="1" applyProtection="1">
      <alignment horizontal="center"/>
      <protection locked="0"/>
    </xf>
    <xf numFmtId="164" fontId="1" fillId="0" borderId="6" xfId="0" applyNumberFormat="1" applyFont="1" applyBorder="1" applyAlignment="1" applyProtection="1" quotePrefix="1">
      <alignment horizontal="center" wrapText="1"/>
      <protection locked="0"/>
    </xf>
    <xf numFmtId="169" fontId="0" fillId="0" borderId="6" xfId="21" applyNumberFormat="1" applyBorder="1" applyAlignment="1">
      <alignment horizontal="center"/>
    </xf>
    <xf numFmtId="2" fontId="5" fillId="0" borderId="6" xfId="0" applyNumberFormat="1" applyFont="1" applyBorder="1" applyAlignment="1" applyProtection="1">
      <alignment horizontal="center"/>
      <protection locked="0"/>
    </xf>
    <xf numFmtId="9" fontId="5" fillId="0" borderId="6" xfId="21" applyFont="1" applyBorder="1" applyAlignment="1">
      <alignment horizontal="center"/>
    </xf>
    <xf numFmtId="190" fontId="0" fillId="0" borderId="0" xfId="0" applyNumberFormat="1" applyAlignment="1">
      <alignment/>
    </xf>
    <xf numFmtId="0" fontId="0" fillId="5" borderId="0" xfId="0" applyFill="1" applyAlignment="1">
      <alignment/>
    </xf>
    <xf numFmtId="0" fontId="14" fillId="5" borderId="0" xfId="0" applyFont="1" applyFill="1" applyAlignment="1">
      <alignment/>
    </xf>
    <xf numFmtId="0" fontId="14" fillId="5" borderId="0" xfId="0" applyFont="1" applyFill="1" applyAlignment="1">
      <alignment/>
    </xf>
    <xf numFmtId="0" fontId="14" fillId="2" borderId="8" xfId="0" applyFont="1" applyFill="1" applyBorder="1" applyAlignment="1">
      <alignment/>
    </xf>
    <xf numFmtId="0" fontId="14" fillId="2" borderId="9" xfId="0" applyFont="1" applyFill="1" applyBorder="1" applyAlignment="1">
      <alignment/>
    </xf>
    <xf numFmtId="0" fontId="14" fillId="2" borderId="10" xfId="0" applyFont="1" applyFill="1" applyBorder="1" applyAlignment="1">
      <alignment/>
    </xf>
    <xf numFmtId="0" fontId="14" fillId="2" borderId="11" xfId="0" applyFont="1" applyFill="1" applyBorder="1" applyAlignment="1">
      <alignment/>
    </xf>
    <xf numFmtId="0" fontId="14" fillId="2" borderId="5" xfId="0" applyFont="1" applyFill="1" applyBorder="1" applyAlignment="1">
      <alignment/>
    </xf>
    <xf numFmtId="0" fontId="14" fillId="2" borderId="7" xfId="0" applyFont="1" applyFill="1" applyBorder="1" applyAlignment="1">
      <alignment/>
    </xf>
    <xf numFmtId="0" fontId="14" fillId="6" borderId="4" xfId="0" applyFont="1" applyFill="1" applyBorder="1" applyAlignment="1">
      <alignment/>
    </xf>
    <xf numFmtId="0" fontId="14" fillId="2" borderId="4" xfId="0" applyFont="1" applyFill="1" applyBorder="1" applyAlignment="1">
      <alignment/>
    </xf>
    <xf numFmtId="44" fontId="14" fillId="7" borderId="4" xfId="0" applyNumberFormat="1" applyFont="1" applyFill="1" applyBorder="1" applyAlignment="1">
      <alignment/>
    </xf>
    <xf numFmtId="0" fontId="14" fillId="8" borderId="5" xfId="0" applyFont="1" applyFill="1" applyBorder="1" applyAlignment="1">
      <alignment horizontal="left"/>
    </xf>
    <xf numFmtId="0" fontId="0" fillId="8" borderId="6" xfId="0" applyFill="1" applyBorder="1" applyAlignment="1">
      <alignment/>
    </xf>
    <xf numFmtId="0" fontId="14" fillId="8" borderId="6" xfId="0" applyFont="1" applyFill="1" applyBorder="1" applyAlignment="1">
      <alignment/>
    </xf>
    <xf numFmtId="0" fontId="14" fillId="8" borderId="7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RESEARCH\Drug%20Use%20Sheets\Drug%20Cost%20Calculator%20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ed drugs"/>
      <sheetName val="Growth Promotants"/>
      <sheetName val="Injectable"/>
      <sheetName val="Water"/>
      <sheetName val="Sheet3"/>
      <sheetName val="Feed Therapeutics"/>
    </sheetNames>
    <sheetDataSet>
      <sheetData sheetId="0">
        <row r="2">
          <cell r="C2" t="str">
            <v>Var rate</v>
          </cell>
          <cell r="D2" t="str">
            <v>Units, Lbs</v>
          </cell>
          <cell r="E2" t="str">
            <v>package</v>
          </cell>
          <cell r="F2" t="str">
            <v>pound</v>
          </cell>
          <cell r="G2" t="str">
            <v>gram</v>
          </cell>
          <cell r="H2" t="str">
            <v>per lb</v>
          </cell>
          <cell r="I2" t="str">
            <v>per ton</v>
          </cell>
          <cell r="J2" t="str">
            <v>addition</v>
          </cell>
        </row>
        <row r="3">
          <cell r="A3">
            <v>1</v>
          </cell>
          <cell r="B3" t="str">
            <v>Apramycin 150 </v>
          </cell>
          <cell r="C3" t="str">
            <v>F</v>
          </cell>
          <cell r="D3">
            <v>20</v>
          </cell>
          <cell r="E3">
            <v>40.71</v>
          </cell>
          <cell r="F3">
            <v>2.0355</v>
          </cell>
          <cell r="G3">
            <v>0.2714</v>
          </cell>
          <cell r="H3">
            <v>7.5</v>
          </cell>
          <cell r="I3">
            <v>20</v>
          </cell>
          <cell r="J3">
            <v>40.709999999999994</v>
          </cell>
        </row>
        <row r="4">
          <cell r="A4">
            <v>2</v>
          </cell>
          <cell r="B4" t="str">
            <v>BMD 60</v>
          </cell>
          <cell r="C4" t="str">
            <v>V </v>
          </cell>
          <cell r="D4">
            <v>50</v>
          </cell>
          <cell r="E4">
            <v>187.2</v>
          </cell>
          <cell r="F4">
            <v>3.7439999999999998</v>
          </cell>
          <cell r="G4">
            <v>0.0624</v>
          </cell>
          <cell r="H4">
            <v>60</v>
          </cell>
          <cell r="I4">
            <v>3.25</v>
          </cell>
          <cell r="J4">
            <v>12.168</v>
          </cell>
        </row>
        <row r="5">
          <cell r="A5">
            <v>3</v>
          </cell>
          <cell r="B5" t="str">
            <v>CSP 250</v>
          </cell>
          <cell r="C5" t="str">
            <v>F</v>
          </cell>
          <cell r="D5">
            <v>50</v>
          </cell>
          <cell r="E5">
            <v>96.74</v>
          </cell>
          <cell r="F5">
            <v>1.9347999999999999</v>
          </cell>
          <cell r="G5">
            <v>0.038695999999999994</v>
          </cell>
          <cell r="H5">
            <v>50</v>
          </cell>
          <cell r="I5">
            <v>5</v>
          </cell>
          <cell r="J5">
            <v>9.674</v>
          </cell>
        </row>
        <row r="6">
          <cell r="A6">
            <v>4</v>
          </cell>
          <cell r="B6" t="str">
            <v>Aureomycin 50</v>
          </cell>
          <cell r="C6" t="str">
            <v>V</v>
          </cell>
          <cell r="D6">
            <v>50</v>
          </cell>
          <cell r="E6">
            <v>70.35</v>
          </cell>
          <cell r="F6">
            <v>1.4069999999999998</v>
          </cell>
          <cell r="G6">
            <v>0.028139999999999995</v>
          </cell>
          <cell r="H6">
            <v>50</v>
          </cell>
          <cell r="I6">
            <v>8</v>
          </cell>
          <cell r="J6">
            <v>11.255999999999998</v>
          </cell>
        </row>
        <row r="7">
          <cell r="A7">
            <v>5</v>
          </cell>
          <cell r="B7" t="str">
            <v>CTC 50</v>
          </cell>
          <cell r="C7" t="str">
            <v>V</v>
          </cell>
          <cell r="D7">
            <v>50</v>
          </cell>
          <cell r="E7">
            <v>64.8</v>
          </cell>
          <cell r="F7">
            <v>1.296</v>
          </cell>
          <cell r="G7">
            <v>0.025920000000000002</v>
          </cell>
          <cell r="H7">
            <v>50</v>
          </cell>
          <cell r="I7">
            <v>8</v>
          </cell>
          <cell r="J7">
            <v>10.368</v>
          </cell>
        </row>
        <row r="8">
          <cell r="A8">
            <v>6</v>
          </cell>
          <cell r="B8" t="str">
            <v>Denegard 10</v>
          </cell>
          <cell r="C8" t="str">
            <v>V</v>
          </cell>
          <cell r="D8">
            <v>35</v>
          </cell>
          <cell r="E8">
            <v>185.1</v>
          </cell>
          <cell r="F8">
            <v>5.288571428571428</v>
          </cell>
          <cell r="G8">
            <v>0.5288571428571428</v>
          </cell>
          <cell r="H8">
            <v>10</v>
          </cell>
          <cell r="I8">
            <v>3.5</v>
          </cell>
          <cell r="J8">
            <v>18.509999999999998</v>
          </cell>
        </row>
        <row r="9">
          <cell r="A9">
            <v>7</v>
          </cell>
          <cell r="B9" t="str">
            <v>Linco 20</v>
          </cell>
          <cell r="C9" t="str">
            <v>V</v>
          </cell>
          <cell r="D9">
            <v>50</v>
          </cell>
          <cell r="E9">
            <v>275.41</v>
          </cell>
          <cell r="F9">
            <v>5.5082</v>
          </cell>
          <cell r="G9">
            <v>0.27541000000000004</v>
          </cell>
          <cell r="H9">
            <v>20</v>
          </cell>
          <cell r="I9">
            <v>10</v>
          </cell>
          <cell r="J9">
            <v>55.08200000000001</v>
          </cell>
        </row>
        <row r="10">
          <cell r="A10">
            <v>8</v>
          </cell>
          <cell r="B10" t="str">
            <v>Mecadox 2.5</v>
          </cell>
          <cell r="C10" t="str">
            <v>V</v>
          </cell>
          <cell r="D10">
            <v>40</v>
          </cell>
          <cell r="E10">
            <v>44.04</v>
          </cell>
          <cell r="F10">
            <v>1.101</v>
          </cell>
          <cell r="G10">
            <v>0.4404</v>
          </cell>
          <cell r="H10">
            <v>2.5</v>
          </cell>
          <cell r="I10">
            <v>20</v>
          </cell>
          <cell r="J10">
            <v>22.02</v>
          </cell>
        </row>
        <row r="11">
          <cell r="A11">
            <v>9</v>
          </cell>
          <cell r="B11" t="str">
            <v> CDX/Ban 2.5/48</v>
          </cell>
          <cell r="C11" t="str">
            <v>F</v>
          </cell>
          <cell r="D11">
            <v>40</v>
          </cell>
          <cell r="E11">
            <v>74.69</v>
          </cell>
          <cell r="F11">
            <v>1.8672499999999999</v>
          </cell>
          <cell r="G11">
            <v>0.7468999999999999</v>
          </cell>
          <cell r="H11">
            <v>2.5</v>
          </cell>
          <cell r="I11">
            <v>20</v>
          </cell>
          <cell r="J11">
            <v>37.345</v>
          </cell>
        </row>
        <row r="12">
          <cell r="A12">
            <v>10</v>
          </cell>
          <cell r="B12" t="str">
            <v>* NeoTerra 10/10</v>
          </cell>
          <cell r="C12" t="str">
            <v>V</v>
          </cell>
          <cell r="D12">
            <v>50</v>
          </cell>
          <cell r="E12">
            <v>47.47</v>
          </cell>
          <cell r="F12">
            <v>0.9494</v>
          </cell>
          <cell r="G12">
            <v>0.09494</v>
          </cell>
          <cell r="H12">
            <v>10</v>
          </cell>
          <cell r="I12">
            <v>10</v>
          </cell>
          <cell r="J12">
            <v>9.494</v>
          </cell>
        </row>
        <row r="13">
          <cell r="A13">
            <v>11</v>
          </cell>
          <cell r="B13" t="str">
            <v>Terra 50</v>
          </cell>
          <cell r="C13" t="str">
            <v>V</v>
          </cell>
          <cell r="D13">
            <v>50</v>
          </cell>
          <cell r="E13">
            <v>65.29</v>
          </cell>
          <cell r="F13">
            <v>1.3058</v>
          </cell>
          <cell r="G13">
            <v>0.026116</v>
          </cell>
          <cell r="H13">
            <v>50</v>
          </cell>
          <cell r="I13">
            <v>10</v>
          </cell>
          <cell r="J13">
            <v>13.058</v>
          </cell>
        </row>
        <row r="14">
          <cell r="A14">
            <v>12</v>
          </cell>
          <cell r="B14" t="str">
            <v>Pen 100</v>
          </cell>
          <cell r="C14" t="str">
            <v>V</v>
          </cell>
          <cell r="D14">
            <v>50</v>
          </cell>
          <cell r="E14">
            <v>496.71</v>
          </cell>
          <cell r="F14">
            <v>9.934199999999999</v>
          </cell>
          <cell r="G14">
            <v>0.09934199999999999</v>
          </cell>
          <cell r="H14">
            <v>100</v>
          </cell>
          <cell r="I14">
            <v>1</v>
          </cell>
          <cell r="J14">
            <v>9.934199999999999</v>
          </cell>
        </row>
        <row r="15">
          <cell r="A15">
            <v>13</v>
          </cell>
          <cell r="B15" t="str">
            <v>Stafac 10</v>
          </cell>
          <cell r="C15" t="str">
            <v>V</v>
          </cell>
          <cell r="D15">
            <v>50</v>
          </cell>
          <cell r="E15">
            <v>93.71</v>
          </cell>
          <cell r="F15">
            <v>1.8741999999999999</v>
          </cell>
          <cell r="G15">
            <v>0.18741999999999998</v>
          </cell>
          <cell r="H15">
            <v>10</v>
          </cell>
          <cell r="I15">
            <v>2.5</v>
          </cell>
          <cell r="J15">
            <v>4.685499999999999</v>
          </cell>
        </row>
        <row r="16">
          <cell r="A16">
            <v>14</v>
          </cell>
          <cell r="B16" t="str">
            <v>Tylan 10</v>
          </cell>
          <cell r="C16" t="str">
            <v>V</v>
          </cell>
          <cell r="D16">
            <v>50</v>
          </cell>
          <cell r="E16">
            <v>70.1</v>
          </cell>
          <cell r="F16">
            <v>1.402</v>
          </cell>
          <cell r="G16">
            <v>0.1402</v>
          </cell>
          <cell r="H16">
            <v>10</v>
          </cell>
          <cell r="I16">
            <v>4</v>
          </cell>
          <cell r="J16">
            <v>5.608</v>
          </cell>
        </row>
        <row r="17">
          <cell r="A17">
            <v>15</v>
          </cell>
          <cell r="B17" t="str">
            <v>Tylan 40</v>
          </cell>
          <cell r="C17" t="str">
            <v>V</v>
          </cell>
          <cell r="D17">
            <v>50</v>
          </cell>
          <cell r="E17">
            <v>260.39</v>
          </cell>
          <cell r="F17">
            <v>5.2078</v>
          </cell>
          <cell r="G17">
            <v>0.130195</v>
          </cell>
          <cell r="H17">
            <v>40</v>
          </cell>
          <cell r="I17">
            <v>1</v>
          </cell>
          <cell r="J17">
            <v>5.2078</v>
          </cell>
        </row>
        <row r="18">
          <cell r="A18">
            <v>16</v>
          </cell>
          <cell r="B18" t="str">
            <v>Tylan Sulfa G</v>
          </cell>
          <cell r="C18" t="str">
            <v>F</v>
          </cell>
          <cell r="D18">
            <v>50</v>
          </cell>
          <cell r="E18">
            <v>89.92</v>
          </cell>
          <cell r="F18">
            <v>1.7984</v>
          </cell>
          <cell r="G18">
            <v>0.08992</v>
          </cell>
          <cell r="H18">
            <v>20</v>
          </cell>
          <cell r="I18">
            <v>5</v>
          </cell>
          <cell r="J18">
            <v>8.992</v>
          </cell>
        </row>
        <row r="19">
          <cell r="A19">
            <v>17</v>
          </cell>
          <cell r="B19" t="str">
            <v>Pulmotil</v>
          </cell>
          <cell r="C19" t="str">
            <v>V</v>
          </cell>
          <cell r="D19">
            <v>10</v>
          </cell>
          <cell r="E19">
            <v>64.65</v>
          </cell>
          <cell r="F19">
            <v>6.465000000000001</v>
          </cell>
          <cell r="G19">
            <v>0.35718232044198894</v>
          </cell>
          <cell r="H19">
            <v>18.1</v>
          </cell>
          <cell r="I19">
            <v>10</v>
          </cell>
          <cell r="J19">
            <v>64.65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workbookViewId="0" topLeftCell="A1">
      <selection activeCell="J26" sqref="A1:J26"/>
    </sheetView>
  </sheetViews>
  <sheetFormatPr defaultColWidth="9.140625" defaultRowHeight="12.75"/>
  <cols>
    <col min="4" max="4" width="18.421875" style="0" customWidth="1"/>
    <col min="5" max="5" width="10.8515625" style="0" customWidth="1"/>
    <col min="6" max="6" width="10.8515625" style="0" bestFit="1" customWidth="1"/>
  </cols>
  <sheetData>
    <row r="1" spans="1:18" ht="18">
      <c r="A1" s="134"/>
      <c r="B1" s="134"/>
      <c r="C1" s="135" t="s">
        <v>190</v>
      </c>
      <c r="D1" s="135"/>
      <c r="E1" s="135"/>
      <c r="F1" s="135"/>
      <c r="G1" s="134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</row>
    <row r="2" spans="1:18" ht="18">
      <c r="A2" s="134"/>
      <c r="B2" s="134"/>
      <c r="C2" s="134"/>
      <c r="D2" s="134"/>
      <c r="E2" s="134"/>
      <c r="F2" s="134"/>
      <c r="G2" s="134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</row>
    <row r="3" spans="1:18" ht="18">
      <c r="A3" s="134"/>
      <c r="B3" s="134"/>
      <c r="C3" s="134"/>
      <c r="D3" s="134"/>
      <c r="E3" s="134" t="s">
        <v>184</v>
      </c>
      <c r="F3" s="134"/>
      <c r="G3" s="134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</row>
    <row r="4" spans="1:18" ht="18">
      <c r="A4" s="134"/>
      <c r="B4" s="134"/>
      <c r="C4" s="136" t="s">
        <v>1</v>
      </c>
      <c r="D4" s="137"/>
      <c r="E4" s="142">
        <v>4.5</v>
      </c>
      <c r="F4" s="143" t="s">
        <v>185</v>
      </c>
      <c r="G4" s="134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</row>
    <row r="5" spans="1:18" ht="18">
      <c r="A5" s="134"/>
      <c r="B5" s="134"/>
      <c r="C5" s="140" t="s">
        <v>186</v>
      </c>
      <c r="D5" s="141"/>
      <c r="E5" s="142">
        <v>310</v>
      </c>
      <c r="F5" s="143" t="s">
        <v>187</v>
      </c>
      <c r="G5" s="134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</row>
    <row r="6" spans="1:18" ht="18">
      <c r="A6" s="134"/>
      <c r="B6" s="134"/>
      <c r="C6" s="140" t="s">
        <v>188</v>
      </c>
      <c r="D6" s="141"/>
      <c r="E6" s="142">
        <v>320</v>
      </c>
      <c r="F6" s="143" t="s">
        <v>187</v>
      </c>
      <c r="G6" s="134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</row>
    <row r="7" spans="1:18" ht="18">
      <c r="A7" s="134"/>
      <c r="B7" s="134"/>
      <c r="C7" s="138" t="s">
        <v>189</v>
      </c>
      <c r="D7" s="139"/>
      <c r="E7" s="142">
        <v>650</v>
      </c>
      <c r="F7" s="143" t="s">
        <v>187</v>
      </c>
      <c r="G7" s="134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</row>
    <row r="8" spans="1:18" ht="18">
      <c r="A8" s="134"/>
      <c r="B8" s="134"/>
      <c r="C8" s="140" t="s">
        <v>10</v>
      </c>
      <c r="D8" s="141"/>
      <c r="E8" s="142">
        <v>55</v>
      </c>
      <c r="F8" s="143" t="s">
        <v>187</v>
      </c>
      <c r="G8" s="134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</row>
    <row r="9" spans="1:18" ht="18">
      <c r="A9" s="134"/>
      <c r="B9" s="134"/>
      <c r="C9" s="134"/>
      <c r="D9" s="134"/>
      <c r="E9" s="134"/>
      <c r="F9" s="134"/>
      <c r="G9" s="134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</row>
    <row r="10" spans="1:18" ht="18">
      <c r="A10" s="134"/>
      <c r="B10" s="134"/>
      <c r="C10" s="134"/>
      <c r="D10" s="134"/>
      <c r="E10" s="134"/>
      <c r="F10" s="134"/>
      <c r="G10" s="134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</row>
    <row r="11" spans="1:18" ht="18">
      <c r="A11" s="145" t="s">
        <v>191</v>
      </c>
      <c r="B11" s="146"/>
      <c r="C11" s="147"/>
      <c r="D11" s="147"/>
      <c r="E11" s="148"/>
      <c r="F11" s="144">
        <f>'Gf diets'!H108-'Gf diets'!N108</f>
        <v>0.24314334897067624</v>
      </c>
      <c r="G11" s="134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</row>
    <row r="12" spans="1:18" ht="18">
      <c r="A12" s="134"/>
      <c r="B12" s="134"/>
      <c r="C12" s="134"/>
      <c r="D12" s="134"/>
      <c r="E12" s="134"/>
      <c r="F12" s="134"/>
      <c r="G12" s="134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</row>
    <row r="13" spans="1:18" ht="12.75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</row>
    <row r="14" spans="1:18" ht="12.75">
      <c r="A14" s="133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</row>
    <row r="15" spans="1:18" ht="12.75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</row>
    <row r="16" spans="1:18" ht="12.75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</row>
    <row r="17" spans="1:18" ht="12.75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</row>
    <row r="18" spans="1:18" ht="12.75">
      <c r="A18" s="133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</row>
    <row r="19" spans="1:18" ht="12.75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</row>
    <row r="20" spans="1:18" ht="12.75">
      <c r="A20" s="133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</row>
    <row r="21" spans="1:18" ht="12.75">
      <c r="A21" s="133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</row>
    <row r="22" spans="1:18" ht="12.75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</row>
    <row r="23" spans="1:18" ht="12.75">
      <c r="A23" s="133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</row>
    <row r="24" spans="1:18" ht="12.75">
      <c r="A24" s="133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</row>
    <row r="25" spans="1:18" ht="12.75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</row>
    <row r="26" spans="1:18" ht="12.75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</row>
    <row r="27" spans="1:18" ht="12.75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</row>
    <row r="28" spans="1:18" ht="12.75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</row>
    <row r="29" spans="1:18" ht="12.75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</row>
    <row r="30" spans="1:18" ht="12.75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</row>
    <row r="31" spans="1:18" ht="12.75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</row>
    <row r="32" spans="1:18" ht="12.75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</row>
    <row r="33" spans="1:18" ht="12.75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12.75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8" ht="12.75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</row>
    <row r="36" spans="1:18" ht="12.75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</row>
    <row r="37" spans="1:18" ht="12.75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</row>
    <row r="38" spans="1:18" ht="12.75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</row>
    <row r="39" spans="1:18" ht="12.75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</row>
    <row r="40" spans="1:18" ht="12.75">
      <c r="A40" s="133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</row>
    <row r="41" spans="1:18" ht="12.75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</row>
    <row r="42" spans="1:18" ht="12.75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</row>
    <row r="43" spans="1:18" ht="12.75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</row>
    <row r="44" spans="1:18" ht="12.75">
      <c r="A44" s="133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</row>
    <row r="45" spans="1:18" ht="12.75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</row>
    <row r="46" spans="1:18" ht="12.75">
      <c r="A46" s="133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</row>
    <row r="47" spans="1:18" ht="12.75">
      <c r="A47" s="133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</row>
    <row r="48" spans="1:18" ht="12.75">
      <c r="A48" s="133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</row>
    <row r="49" spans="1:18" ht="12.75">
      <c r="A49" s="133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</row>
    <row r="50" spans="1:18" ht="12.75">
      <c r="A50" s="133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</row>
    <row r="51" spans="8:18" ht="12.75"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</row>
    <row r="52" spans="8:18" ht="12.75"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</row>
    <row r="53" spans="8:18" ht="12.75"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</row>
    <row r="54" spans="8:18" ht="12.75"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</row>
  </sheetData>
  <sheetProtection selectLockedCells="1"/>
  <protectedRanges>
    <protectedRange sqref="E8:E41" name="Range1"/>
  </protectedRange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79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6" sqref="A26"/>
    </sheetView>
  </sheetViews>
  <sheetFormatPr defaultColWidth="9.140625" defaultRowHeight="12.75"/>
  <cols>
    <col min="1" max="1" width="30.140625" style="0" bestFit="1" customWidth="1"/>
    <col min="8" max="8" width="10.00390625" style="0" customWidth="1"/>
    <col min="11" max="11" width="10.28125" style="0" customWidth="1"/>
    <col min="14" max="14" width="11.57421875" style="0" customWidth="1"/>
    <col min="15" max="16" width="12.57421875" style="0" customWidth="1"/>
    <col min="21" max="21" width="10.00390625" style="0" customWidth="1"/>
    <col min="22" max="22" width="8.28125" style="0" customWidth="1"/>
    <col min="23" max="24" width="9.8515625" style="0" customWidth="1"/>
    <col min="25" max="26" width="8.28125" style="0" customWidth="1"/>
    <col min="27" max="29" width="7.57421875" style="0" customWidth="1"/>
    <col min="30" max="31" width="8.28125" style="0" customWidth="1"/>
    <col min="32" max="32" width="3.57421875" style="0" customWidth="1"/>
    <col min="36" max="36" width="9.8515625" style="0" customWidth="1"/>
    <col min="39" max="39" width="10.421875" style="0" customWidth="1"/>
    <col min="41" max="41" width="2.57421875" style="0" customWidth="1"/>
    <col min="45" max="45" width="10.57421875" style="0" customWidth="1"/>
    <col min="50" max="50" width="2.57421875" style="0" customWidth="1"/>
    <col min="54" max="54" width="9.8515625" style="0" customWidth="1"/>
    <col min="57" max="57" width="10.421875" style="0" customWidth="1"/>
    <col min="63" max="63" width="9.8515625" style="0" customWidth="1"/>
    <col min="66" max="66" width="10.421875" style="0" customWidth="1"/>
  </cols>
  <sheetData>
    <row r="1" ht="12.75">
      <c r="A1" s="40" t="s">
        <v>70</v>
      </c>
    </row>
    <row r="2" ht="12.75">
      <c r="A2" s="111" t="s">
        <v>172</v>
      </c>
    </row>
    <row r="3" ht="12.75" hidden="1">
      <c r="A3" s="111"/>
    </row>
    <row r="5" spans="1:3" ht="12.75">
      <c r="A5" t="s">
        <v>48</v>
      </c>
      <c r="B5" s="31">
        <v>12</v>
      </c>
      <c r="C5" s="39" t="s">
        <v>49</v>
      </c>
    </row>
    <row r="6" spans="25:67" ht="12.75">
      <c r="Y6" t="s">
        <v>171</v>
      </c>
      <c r="AG6" s="45" t="s">
        <v>92</v>
      </c>
      <c r="AH6" s="46"/>
      <c r="AI6" s="46"/>
      <c r="AJ6" s="46"/>
      <c r="AK6" s="46"/>
      <c r="AL6" s="46"/>
      <c r="AM6" s="46"/>
      <c r="AN6" s="47"/>
      <c r="AP6" s="42" t="s">
        <v>91</v>
      </c>
      <c r="AQ6" s="43"/>
      <c r="AR6" s="43"/>
      <c r="AS6" s="43"/>
      <c r="AT6" s="43"/>
      <c r="AU6" s="43"/>
      <c r="AV6" s="43"/>
      <c r="AW6" s="44"/>
      <c r="AY6" s="45" t="s">
        <v>94</v>
      </c>
      <c r="AZ6" s="46"/>
      <c r="BA6" s="46"/>
      <c r="BB6" s="46"/>
      <c r="BC6" s="46"/>
      <c r="BD6" s="46"/>
      <c r="BE6" s="46"/>
      <c r="BF6" s="47"/>
      <c r="BH6" s="42" t="s">
        <v>93</v>
      </c>
      <c r="BI6" s="43"/>
      <c r="BJ6" s="43"/>
      <c r="BK6" s="43"/>
      <c r="BL6" s="43"/>
      <c r="BM6" s="43"/>
      <c r="BN6" s="43"/>
      <c r="BO6" s="44"/>
    </row>
    <row r="7" spans="1:67" ht="30" customHeight="1" thickBot="1">
      <c r="A7" s="89" t="s">
        <v>27</v>
      </c>
      <c r="B7" s="89" t="s">
        <v>156</v>
      </c>
      <c r="C7" s="89" t="s">
        <v>42</v>
      </c>
      <c r="D7" s="113" t="s">
        <v>41</v>
      </c>
      <c r="E7" s="113" t="s">
        <v>15</v>
      </c>
      <c r="F7" s="113" t="s">
        <v>16</v>
      </c>
      <c r="G7" s="113" t="s">
        <v>17</v>
      </c>
      <c r="H7" s="113" t="s">
        <v>18</v>
      </c>
      <c r="I7" s="113" t="s">
        <v>104</v>
      </c>
      <c r="J7" s="113" t="s">
        <v>19</v>
      </c>
      <c r="K7" s="113" t="s">
        <v>20</v>
      </c>
      <c r="L7" s="113" t="s">
        <v>21</v>
      </c>
      <c r="M7" s="113" t="s">
        <v>22</v>
      </c>
      <c r="N7" s="113" t="s">
        <v>103</v>
      </c>
      <c r="O7" s="113" t="s">
        <v>69</v>
      </c>
      <c r="P7" s="113" t="s">
        <v>146</v>
      </c>
      <c r="Q7" s="113" t="s">
        <v>64</v>
      </c>
      <c r="R7" s="113" t="s">
        <v>23</v>
      </c>
      <c r="S7" s="113" t="s">
        <v>24</v>
      </c>
      <c r="T7" s="113" t="s">
        <v>25</v>
      </c>
      <c r="U7" s="113" t="s">
        <v>90</v>
      </c>
      <c r="V7" s="113" t="s">
        <v>89</v>
      </c>
      <c r="W7" s="113" t="s">
        <v>134</v>
      </c>
      <c r="X7" s="113" t="s">
        <v>145</v>
      </c>
      <c r="Y7" s="113" t="s">
        <v>135</v>
      </c>
      <c r="Z7" s="113" t="s">
        <v>136</v>
      </c>
      <c r="AA7" s="113" t="s">
        <v>168</v>
      </c>
      <c r="AB7" s="113" t="s">
        <v>169</v>
      </c>
      <c r="AC7" s="113" t="s">
        <v>170</v>
      </c>
      <c r="AD7" s="113" t="s">
        <v>153</v>
      </c>
      <c r="AE7" s="113" t="s">
        <v>137</v>
      </c>
      <c r="AF7" s="113"/>
      <c r="AG7" s="113" t="s">
        <v>15</v>
      </c>
      <c r="AH7" s="113" t="s">
        <v>16</v>
      </c>
      <c r="AI7" s="113" t="s">
        <v>17</v>
      </c>
      <c r="AJ7" s="113" t="s">
        <v>18</v>
      </c>
      <c r="AK7" s="113" t="s">
        <v>44</v>
      </c>
      <c r="AL7" s="113" t="s">
        <v>19</v>
      </c>
      <c r="AM7" s="113" t="s">
        <v>20</v>
      </c>
      <c r="AN7" s="113" t="s">
        <v>21</v>
      </c>
      <c r="AO7" s="113"/>
      <c r="AP7" s="113" t="s">
        <v>15</v>
      </c>
      <c r="AQ7" s="113" t="s">
        <v>16</v>
      </c>
      <c r="AR7" s="113" t="s">
        <v>17</v>
      </c>
      <c r="AS7" s="113" t="s">
        <v>18</v>
      </c>
      <c r="AT7" s="113" t="s">
        <v>44</v>
      </c>
      <c r="AU7" s="113" t="s">
        <v>19</v>
      </c>
      <c r="AV7" s="113" t="s">
        <v>20</v>
      </c>
      <c r="AW7" s="113" t="s">
        <v>21</v>
      </c>
      <c r="AX7" s="114"/>
      <c r="AY7" s="113" t="s">
        <v>15</v>
      </c>
      <c r="AZ7" s="113" t="s">
        <v>16</v>
      </c>
      <c r="BA7" s="113" t="s">
        <v>17</v>
      </c>
      <c r="BB7" s="113" t="s">
        <v>18</v>
      </c>
      <c r="BC7" s="113" t="s">
        <v>44</v>
      </c>
      <c r="BD7" s="113" t="s">
        <v>19</v>
      </c>
      <c r="BE7" s="113" t="s">
        <v>20</v>
      </c>
      <c r="BF7" s="113" t="s">
        <v>21</v>
      </c>
      <c r="BG7" s="114"/>
      <c r="BH7" s="113" t="s">
        <v>15</v>
      </c>
      <c r="BI7" s="113" t="s">
        <v>16</v>
      </c>
      <c r="BJ7" s="113" t="s">
        <v>17</v>
      </c>
      <c r="BK7" s="113" t="s">
        <v>18</v>
      </c>
      <c r="BL7" s="113" t="s">
        <v>44</v>
      </c>
      <c r="BM7" s="113" t="s">
        <v>19</v>
      </c>
      <c r="BN7" s="113" t="s">
        <v>20</v>
      </c>
      <c r="BO7" s="113" t="s">
        <v>21</v>
      </c>
    </row>
    <row r="8" spans="1:67" ht="12.75" customHeight="1">
      <c r="A8" s="41" t="s">
        <v>1</v>
      </c>
      <c r="B8" s="30"/>
      <c r="C8" s="90">
        <f aca="true" t="shared" si="0" ref="C8:C39">D8*2000</f>
        <v>160.71428571428572</v>
      </c>
      <c r="D8" s="82">
        <f>Calculator!E4/56</f>
        <v>0.08035714285714286</v>
      </c>
      <c r="E8" s="83">
        <v>0.26</v>
      </c>
      <c r="F8" s="83">
        <v>0.28</v>
      </c>
      <c r="G8" s="83">
        <v>0.99</v>
      </c>
      <c r="H8" s="83">
        <v>0.17</v>
      </c>
      <c r="I8" s="83">
        <v>0.19</v>
      </c>
      <c r="J8" s="83">
        <v>0.29</v>
      </c>
      <c r="K8" s="83">
        <v>0.06</v>
      </c>
      <c r="L8" s="83">
        <v>0.39</v>
      </c>
      <c r="M8" s="84">
        <v>3420</v>
      </c>
      <c r="N8" s="84">
        <v>2650</v>
      </c>
      <c r="O8" s="84">
        <v>2730</v>
      </c>
      <c r="P8" s="84">
        <v>3525</v>
      </c>
      <c r="Q8" s="84">
        <v>2395</v>
      </c>
      <c r="R8" s="83">
        <v>8.5</v>
      </c>
      <c r="S8" s="83">
        <v>0.03</v>
      </c>
      <c r="T8" s="83">
        <v>0.28</v>
      </c>
      <c r="U8" s="85">
        <v>0.14</v>
      </c>
      <c r="V8" s="86">
        <f aca="true" t="shared" si="1" ref="V8:V39">T8*U8</f>
        <v>0.039200000000000006</v>
      </c>
      <c r="W8" s="87">
        <v>3.9</v>
      </c>
      <c r="X8" s="87">
        <v>1.92</v>
      </c>
      <c r="Y8" s="87">
        <v>2.2</v>
      </c>
      <c r="Z8" s="125">
        <v>0</v>
      </c>
      <c r="AA8" s="87">
        <v>0.02</v>
      </c>
      <c r="AB8" s="87">
        <v>0.05</v>
      </c>
      <c r="AC8" s="87">
        <v>0.33</v>
      </c>
      <c r="AD8" s="126">
        <v>0</v>
      </c>
      <c r="AE8" s="109">
        <f>125*W8/10</f>
        <v>48.75</v>
      </c>
      <c r="AF8" s="87"/>
      <c r="AG8" s="85">
        <v>0.78</v>
      </c>
      <c r="AH8" s="85">
        <v>0.87</v>
      </c>
      <c r="AI8" s="85">
        <v>0.92</v>
      </c>
      <c r="AJ8" s="85">
        <v>0.9</v>
      </c>
      <c r="AK8" s="85">
        <v>0.86</v>
      </c>
      <c r="AL8" s="85">
        <v>0.82</v>
      </c>
      <c r="AM8" s="85">
        <v>0.84</v>
      </c>
      <c r="AN8" s="85">
        <v>0.87</v>
      </c>
      <c r="AO8" s="87"/>
      <c r="AP8" s="85">
        <v>0.66</v>
      </c>
      <c r="AQ8" s="85">
        <v>0.79</v>
      </c>
      <c r="AR8" s="85">
        <v>0.88</v>
      </c>
      <c r="AS8" s="85">
        <v>0.86</v>
      </c>
      <c r="AT8" s="85">
        <v>0.78</v>
      </c>
      <c r="AU8" s="85">
        <v>0.69</v>
      </c>
      <c r="AV8" s="85">
        <v>0.64</v>
      </c>
      <c r="AW8" s="85">
        <v>0.79</v>
      </c>
      <c r="AX8" s="85"/>
      <c r="AY8" s="88">
        <f aca="true" t="shared" si="2" ref="AY8:AY33">IF(E8="","",E8*AG8)</f>
        <v>0.2028</v>
      </c>
      <c r="AZ8" s="88">
        <f aca="true" t="shared" si="3" ref="AZ8:AZ33">IF(F8="","",F8*AH8)</f>
        <v>0.2436</v>
      </c>
      <c r="BA8" s="88">
        <f aca="true" t="shared" si="4" ref="BA8:BA33">IF(G8="","",G8*AI8)</f>
        <v>0.9108</v>
      </c>
      <c r="BB8" s="88">
        <f aca="true" t="shared" si="5" ref="BB8:BB33">IF(H8="","",H8*AJ8)</f>
        <v>0.15300000000000002</v>
      </c>
      <c r="BC8" s="88">
        <f aca="true" t="shared" si="6" ref="BC8:BC33">IF(I8="","",I8*AK8)</f>
        <v>0.1634</v>
      </c>
      <c r="BD8" s="88">
        <f aca="true" t="shared" si="7" ref="BD8:BD33">IF(J8="","",J8*AL8)</f>
        <v>0.23779999999999996</v>
      </c>
      <c r="BE8" s="88">
        <f aca="true" t="shared" si="8" ref="BE8:BE33">IF(K8="","",K8*AM8)</f>
        <v>0.05039999999999999</v>
      </c>
      <c r="BF8" s="88">
        <f aca="true" t="shared" si="9" ref="BF8:BF33">IF(L8="","",L8*AN8)</f>
        <v>0.3393</v>
      </c>
      <c r="BG8" s="87"/>
      <c r="BH8" s="88">
        <f aca="true" t="shared" si="10" ref="BH8:BH33">IF(E8="","",E8*AP8)</f>
        <v>0.1716</v>
      </c>
      <c r="BI8" s="88">
        <f aca="true" t="shared" si="11" ref="BI8:BI33">IF(F8="","",F8*AQ8)</f>
        <v>0.22120000000000004</v>
      </c>
      <c r="BJ8" s="88">
        <f aca="true" t="shared" si="12" ref="BJ8:BJ33">IF(G8="","",G8*AR8)</f>
        <v>0.8712</v>
      </c>
      <c r="BK8" s="88">
        <f aca="true" t="shared" si="13" ref="BK8:BK33">IF(H8="","",H8*AS8)</f>
        <v>0.1462</v>
      </c>
      <c r="BL8" s="88">
        <f aca="true" t="shared" si="14" ref="BL8:BL33">IF(I8="","",I8*AT8)</f>
        <v>0.1482</v>
      </c>
      <c r="BM8" s="88">
        <f aca="true" t="shared" si="15" ref="BM8:BM33">IF(J8="","",J8*AU8)</f>
        <v>0.20009999999999997</v>
      </c>
      <c r="BN8" s="88">
        <f aca="true" t="shared" si="16" ref="BN8:BN33">IF(K8="","",K8*AV8)</f>
        <v>0.0384</v>
      </c>
      <c r="BO8" s="88">
        <f aca="true" t="shared" si="17" ref="BO8:BO33">IF(L8="","",L8*AW8)</f>
        <v>0.30810000000000004</v>
      </c>
    </row>
    <row r="9" spans="1:67" ht="12.75" customHeight="1">
      <c r="A9" s="48" t="s">
        <v>0</v>
      </c>
      <c r="B9" s="49"/>
      <c r="C9" s="90">
        <f t="shared" si="0"/>
        <v>120</v>
      </c>
      <c r="D9" s="50">
        <v>0.06</v>
      </c>
      <c r="E9" s="51">
        <v>0.22</v>
      </c>
      <c r="F9" s="51">
        <v>0.37</v>
      </c>
      <c r="G9" s="51">
        <v>1.21</v>
      </c>
      <c r="H9" s="51">
        <v>0.17</v>
      </c>
      <c r="I9" s="51">
        <v>0.17</v>
      </c>
      <c r="J9" s="51">
        <v>0.31</v>
      </c>
      <c r="K9" s="51">
        <v>0.1</v>
      </c>
      <c r="L9" s="51">
        <v>0.46</v>
      </c>
      <c r="M9" s="52">
        <v>3340</v>
      </c>
      <c r="N9" s="52">
        <v>2620</v>
      </c>
      <c r="O9" s="52">
        <v>2650</v>
      </c>
      <c r="P9" s="52">
        <v>3380</v>
      </c>
      <c r="Q9" s="52">
        <v>2255</v>
      </c>
      <c r="R9" s="51">
        <v>9.2</v>
      </c>
      <c r="S9" s="51">
        <v>0.03</v>
      </c>
      <c r="T9" s="51">
        <v>0.29</v>
      </c>
      <c r="U9" s="53">
        <v>0.2</v>
      </c>
      <c r="V9" s="54">
        <f t="shared" si="1"/>
        <v>0.057999999999999996</v>
      </c>
      <c r="W9" s="55">
        <v>2.9</v>
      </c>
      <c r="X9" s="55">
        <v>1.13</v>
      </c>
      <c r="Y9" s="55">
        <v>2.4</v>
      </c>
      <c r="Z9" s="125">
        <v>0</v>
      </c>
      <c r="AA9" s="87">
        <v>0.01</v>
      </c>
      <c r="AB9" s="87">
        <v>0.09</v>
      </c>
      <c r="AC9" s="87">
        <v>0.35</v>
      </c>
      <c r="AD9" s="126">
        <v>0</v>
      </c>
      <c r="AE9" s="109">
        <f>120*W9/10</f>
        <v>34.8</v>
      </c>
      <c r="AF9" s="55"/>
      <c r="AG9" s="53">
        <v>0.81</v>
      </c>
      <c r="AH9" s="53">
        <v>0.87</v>
      </c>
      <c r="AI9" s="53">
        <v>0.9</v>
      </c>
      <c r="AJ9" s="53">
        <v>0.89</v>
      </c>
      <c r="AK9" s="58">
        <v>0.83</v>
      </c>
      <c r="AL9" s="53">
        <v>0.84</v>
      </c>
      <c r="AM9" s="58">
        <v>0.83</v>
      </c>
      <c r="AN9" s="53">
        <v>0.87</v>
      </c>
      <c r="AO9" s="53"/>
      <c r="AP9" s="53">
        <v>0.62</v>
      </c>
      <c r="AQ9" s="53">
        <v>0.8</v>
      </c>
      <c r="AR9" s="53">
        <v>0.86</v>
      </c>
      <c r="AS9" s="53">
        <v>0.81</v>
      </c>
      <c r="AT9" s="53">
        <v>0.79</v>
      </c>
      <c r="AU9" s="53">
        <v>0.68</v>
      </c>
      <c r="AV9" s="53">
        <v>0.75</v>
      </c>
      <c r="AW9" s="53">
        <v>0.78</v>
      </c>
      <c r="AX9" s="53"/>
      <c r="AY9" s="56">
        <f t="shared" si="2"/>
        <v>0.17820000000000003</v>
      </c>
      <c r="AZ9" s="56">
        <f t="shared" si="3"/>
        <v>0.3219</v>
      </c>
      <c r="BA9" s="56">
        <f t="shared" si="4"/>
        <v>1.089</v>
      </c>
      <c r="BB9" s="56">
        <f t="shared" si="5"/>
        <v>0.15130000000000002</v>
      </c>
      <c r="BC9" s="56">
        <f t="shared" si="6"/>
        <v>0.1411</v>
      </c>
      <c r="BD9" s="56">
        <f t="shared" si="7"/>
        <v>0.26039999999999996</v>
      </c>
      <c r="BE9" s="56">
        <f t="shared" si="8"/>
        <v>0.083</v>
      </c>
      <c r="BF9" s="56">
        <f t="shared" si="9"/>
        <v>0.4002</v>
      </c>
      <c r="BG9" s="55"/>
      <c r="BH9" s="56">
        <f t="shared" si="10"/>
        <v>0.1364</v>
      </c>
      <c r="BI9" s="56">
        <f t="shared" si="11"/>
        <v>0.296</v>
      </c>
      <c r="BJ9" s="56">
        <f t="shared" si="12"/>
        <v>1.0406</v>
      </c>
      <c r="BK9" s="56">
        <f t="shared" si="13"/>
        <v>0.13770000000000002</v>
      </c>
      <c r="BL9" s="56">
        <f t="shared" si="14"/>
        <v>0.1343</v>
      </c>
      <c r="BM9" s="56">
        <f t="shared" si="15"/>
        <v>0.21080000000000002</v>
      </c>
      <c r="BN9" s="56">
        <f t="shared" si="16"/>
        <v>0.07500000000000001</v>
      </c>
      <c r="BO9" s="56">
        <f t="shared" si="17"/>
        <v>0.3588</v>
      </c>
    </row>
    <row r="10" spans="1:67" ht="12.75" customHeight="1">
      <c r="A10" s="48" t="s">
        <v>2</v>
      </c>
      <c r="B10" s="49"/>
      <c r="C10" s="90">
        <f t="shared" si="0"/>
        <v>85.71428571428571</v>
      </c>
      <c r="D10" s="50">
        <f>1.8/42</f>
        <v>0.04285714285714286</v>
      </c>
      <c r="E10" s="51">
        <v>0.36</v>
      </c>
      <c r="F10" s="51">
        <v>0.37</v>
      </c>
      <c r="G10" s="51">
        <v>0.68</v>
      </c>
      <c r="H10" s="51">
        <v>0.17</v>
      </c>
      <c r="I10" s="51">
        <v>0.2</v>
      </c>
      <c r="J10" s="51">
        <v>0.34</v>
      </c>
      <c r="K10" s="51">
        <v>0.13</v>
      </c>
      <c r="L10" s="51">
        <v>0.49</v>
      </c>
      <c r="M10" s="52">
        <v>2910</v>
      </c>
      <c r="N10" s="52">
        <v>2280</v>
      </c>
      <c r="O10" s="52">
        <v>2320</v>
      </c>
      <c r="P10" s="52">
        <v>3050</v>
      </c>
      <c r="Q10" s="52">
        <v>2310</v>
      </c>
      <c r="R10" s="51">
        <v>10.5</v>
      </c>
      <c r="S10" s="51">
        <v>0.06</v>
      </c>
      <c r="T10" s="51">
        <v>0.36</v>
      </c>
      <c r="U10" s="53">
        <v>0.3</v>
      </c>
      <c r="V10" s="54">
        <f t="shared" si="1"/>
        <v>0.108</v>
      </c>
      <c r="W10" s="55">
        <v>1.9</v>
      </c>
      <c r="X10" s="55">
        <v>0.91</v>
      </c>
      <c r="Y10" s="55">
        <v>4.6</v>
      </c>
      <c r="Z10" s="125">
        <v>0</v>
      </c>
      <c r="AA10" s="87">
        <v>0.02</v>
      </c>
      <c r="AB10" s="87">
        <v>0.15</v>
      </c>
      <c r="AC10" s="87">
        <v>0.47</v>
      </c>
      <c r="AD10" s="126">
        <v>0</v>
      </c>
      <c r="AE10" s="109">
        <f>100*W10/10</f>
        <v>19</v>
      </c>
      <c r="AF10" s="55"/>
      <c r="AG10" s="62">
        <v>0.79</v>
      </c>
      <c r="AH10" s="62">
        <v>0.84</v>
      </c>
      <c r="AI10" s="62">
        <v>0.86</v>
      </c>
      <c r="AJ10" s="62">
        <v>0.86</v>
      </c>
      <c r="AK10" s="62">
        <v>0.86</v>
      </c>
      <c r="AL10" s="62">
        <v>0.81</v>
      </c>
      <c r="AM10" s="62">
        <v>0.8</v>
      </c>
      <c r="AN10" s="62">
        <v>0.82</v>
      </c>
      <c r="AO10" s="62"/>
      <c r="AP10" s="62">
        <v>0.68</v>
      </c>
      <c r="AQ10" s="62">
        <v>0.75</v>
      </c>
      <c r="AR10" s="62">
        <v>0.78</v>
      </c>
      <c r="AS10" s="62">
        <v>0.8</v>
      </c>
      <c r="AT10" s="62">
        <v>0.76</v>
      </c>
      <c r="AU10" s="62">
        <v>0.66</v>
      </c>
      <c r="AV10" s="62">
        <v>0.7</v>
      </c>
      <c r="AW10" s="62">
        <v>0.73</v>
      </c>
      <c r="AX10" s="53"/>
      <c r="AY10" s="56">
        <f t="shared" si="2"/>
        <v>0.2844</v>
      </c>
      <c r="AZ10" s="56">
        <f t="shared" si="3"/>
        <v>0.31079999999999997</v>
      </c>
      <c r="BA10" s="56">
        <f t="shared" si="4"/>
        <v>0.5848</v>
      </c>
      <c r="BB10" s="56">
        <f t="shared" si="5"/>
        <v>0.1462</v>
      </c>
      <c r="BC10" s="56">
        <f t="shared" si="6"/>
        <v>0.17200000000000001</v>
      </c>
      <c r="BD10" s="56">
        <f t="shared" si="7"/>
        <v>0.27540000000000003</v>
      </c>
      <c r="BE10" s="56">
        <f t="shared" si="8"/>
        <v>0.10400000000000001</v>
      </c>
      <c r="BF10" s="56">
        <f t="shared" si="9"/>
        <v>0.4018</v>
      </c>
      <c r="BG10" s="55"/>
      <c r="BH10" s="56">
        <f t="shared" si="10"/>
        <v>0.24480000000000002</v>
      </c>
      <c r="BI10" s="56">
        <f t="shared" si="11"/>
        <v>0.27749999999999997</v>
      </c>
      <c r="BJ10" s="56">
        <f t="shared" si="12"/>
        <v>0.5304000000000001</v>
      </c>
      <c r="BK10" s="56">
        <f t="shared" si="13"/>
        <v>0.136</v>
      </c>
      <c r="BL10" s="56">
        <f t="shared" si="14"/>
        <v>0.15200000000000002</v>
      </c>
      <c r="BM10" s="56">
        <f t="shared" si="15"/>
        <v>0.22440000000000002</v>
      </c>
      <c r="BN10" s="56">
        <f t="shared" si="16"/>
        <v>0.091</v>
      </c>
      <c r="BO10" s="56">
        <f t="shared" si="17"/>
        <v>0.35769999999999996</v>
      </c>
    </row>
    <row r="11" spans="1:67" ht="12.75" customHeight="1">
      <c r="A11" s="48" t="s">
        <v>3</v>
      </c>
      <c r="B11" s="57"/>
      <c r="C11" s="90">
        <f t="shared" si="0"/>
        <v>120</v>
      </c>
      <c r="D11" s="50">
        <v>0.06</v>
      </c>
      <c r="E11" s="51">
        <v>0.34</v>
      </c>
      <c r="F11" s="51">
        <v>0.41</v>
      </c>
      <c r="G11" s="51">
        <v>0.86</v>
      </c>
      <c r="H11" s="51">
        <v>0.2</v>
      </c>
      <c r="I11" s="51">
        <v>0.29</v>
      </c>
      <c r="J11" s="51">
        <v>0.37</v>
      </c>
      <c r="K11" s="51">
        <v>0.15</v>
      </c>
      <c r="L11" s="51">
        <v>0.54</v>
      </c>
      <c r="M11" s="52">
        <v>3210</v>
      </c>
      <c r="N11" s="52">
        <v>2450</v>
      </c>
      <c r="O11" s="52">
        <v>2490</v>
      </c>
      <c r="P11" s="52">
        <v>3365</v>
      </c>
      <c r="Q11" s="52">
        <v>2225</v>
      </c>
      <c r="R11" s="51">
        <v>13.5</v>
      </c>
      <c r="S11" s="51">
        <v>0.06</v>
      </c>
      <c r="T11" s="51">
        <v>0.37</v>
      </c>
      <c r="U11" s="53">
        <v>0.5</v>
      </c>
      <c r="V11" s="54">
        <f t="shared" si="1"/>
        <v>0.185</v>
      </c>
      <c r="W11" s="106">
        <v>2</v>
      </c>
      <c r="X11" s="55">
        <v>0.93</v>
      </c>
      <c r="Y11" s="55">
        <v>2.2</v>
      </c>
      <c r="Z11" s="125">
        <v>0</v>
      </c>
      <c r="AA11" s="87">
        <v>0.01</v>
      </c>
      <c r="AB11" s="87">
        <v>0.08</v>
      </c>
      <c r="AC11" s="87">
        <v>0.46</v>
      </c>
      <c r="AD11" s="126">
        <v>0</v>
      </c>
      <c r="AE11" s="109">
        <f aca="true" t="shared" si="18" ref="AE11:AE19">125*W11/10</f>
        <v>25</v>
      </c>
      <c r="AF11" s="55"/>
      <c r="AG11" s="62">
        <v>0.81</v>
      </c>
      <c r="AH11" s="62">
        <v>0.89</v>
      </c>
      <c r="AI11" s="62">
        <v>0.89</v>
      </c>
      <c r="AJ11" s="62">
        <v>0.9</v>
      </c>
      <c r="AK11" s="62">
        <v>0.9</v>
      </c>
      <c r="AL11" s="62">
        <v>0.84</v>
      </c>
      <c r="AM11" s="62">
        <v>0.9</v>
      </c>
      <c r="AN11" s="62">
        <v>0.86</v>
      </c>
      <c r="AO11" s="62"/>
      <c r="AP11" s="62">
        <v>0.73</v>
      </c>
      <c r="AQ11" s="62">
        <v>0.84</v>
      </c>
      <c r="AR11" s="62">
        <v>0.85</v>
      </c>
      <c r="AS11" s="62">
        <v>0.85</v>
      </c>
      <c r="AT11" s="62">
        <v>0.84</v>
      </c>
      <c r="AU11" s="62">
        <v>0.72</v>
      </c>
      <c r="AV11" s="62">
        <v>0.81</v>
      </c>
      <c r="AW11" s="62">
        <v>0.8</v>
      </c>
      <c r="AX11" s="63"/>
      <c r="AY11" s="56">
        <f t="shared" si="2"/>
        <v>0.27540000000000003</v>
      </c>
      <c r="AZ11" s="56">
        <f t="shared" si="3"/>
        <v>0.3649</v>
      </c>
      <c r="BA11" s="56">
        <f t="shared" si="4"/>
        <v>0.7654</v>
      </c>
      <c r="BB11" s="56">
        <f t="shared" si="5"/>
        <v>0.18000000000000002</v>
      </c>
      <c r="BC11" s="56">
        <f t="shared" si="6"/>
        <v>0.261</v>
      </c>
      <c r="BD11" s="56">
        <f t="shared" si="7"/>
        <v>0.31079999999999997</v>
      </c>
      <c r="BE11" s="56">
        <f t="shared" si="8"/>
        <v>0.135</v>
      </c>
      <c r="BF11" s="56">
        <f t="shared" si="9"/>
        <v>0.46440000000000003</v>
      </c>
      <c r="BG11" s="55"/>
      <c r="BH11" s="56">
        <f t="shared" si="10"/>
        <v>0.2482</v>
      </c>
      <c r="BI11" s="56">
        <f t="shared" si="11"/>
        <v>0.3444</v>
      </c>
      <c r="BJ11" s="56">
        <f t="shared" si="12"/>
        <v>0.731</v>
      </c>
      <c r="BK11" s="56">
        <f t="shared" si="13"/>
        <v>0.17</v>
      </c>
      <c r="BL11" s="56">
        <f t="shared" si="14"/>
        <v>0.24359999999999998</v>
      </c>
      <c r="BM11" s="56">
        <f t="shared" si="15"/>
        <v>0.26639999999999997</v>
      </c>
      <c r="BN11" s="56">
        <f t="shared" si="16"/>
        <v>0.1215</v>
      </c>
      <c r="BO11" s="56">
        <f t="shared" si="17"/>
        <v>0.43200000000000005</v>
      </c>
    </row>
    <row r="12" spans="1:67" ht="12.75" customHeight="1">
      <c r="A12" s="48" t="s">
        <v>50</v>
      </c>
      <c r="B12" s="49"/>
      <c r="C12" s="90">
        <f t="shared" si="0"/>
        <v>96</v>
      </c>
      <c r="D12" s="50">
        <v>0.048</v>
      </c>
      <c r="E12" s="51">
        <v>0.3</v>
      </c>
      <c r="F12" s="64">
        <v>0.27</v>
      </c>
      <c r="G12" s="64">
        <v>1.14</v>
      </c>
      <c r="H12" s="51">
        <v>0.19</v>
      </c>
      <c r="I12" s="51">
        <v>0.2</v>
      </c>
      <c r="J12" s="51">
        <v>0.32</v>
      </c>
      <c r="K12" s="51">
        <v>0.06</v>
      </c>
      <c r="L12" s="64">
        <v>0.45</v>
      </c>
      <c r="M12" s="52">
        <v>3574</v>
      </c>
      <c r="N12" s="52"/>
      <c r="O12" s="52"/>
      <c r="P12" s="52"/>
      <c r="Q12" s="52"/>
      <c r="R12" s="51">
        <v>9.01</v>
      </c>
      <c r="S12" s="51">
        <v>0.03</v>
      </c>
      <c r="T12" s="51">
        <v>0.3</v>
      </c>
      <c r="U12" s="53">
        <v>0.14</v>
      </c>
      <c r="V12" s="54">
        <f t="shared" si="1"/>
        <v>0.042</v>
      </c>
      <c r="W12" s="107">
        <v>8</v>
      </c>
      <c r="X12" s="108">
        <f>0.59*W12</f>
        <v>4.72</v>
      </c>
      <c r="Y12" s="55"/>
      <c r="Z12" s="125">
        <v>0</v>
      </c>
      <c r="AA12" s="109">
        <v>0.02</v>
      </c>
      <c r="AB12" s="109">
        <v>0.05</v>
      </c>
      <c r="AC12" s="109">
        <v>0.33</v>
      </c>
      <c r="AD12" s="126">
        <v>0</v>
      </c>
      <c r="AE12" s="109">
        <f t="shared" si="18"/>
        <v>100</v>
      </c>
      <c r="AF12" s="55"/>
      <c r="AG12" s="62">
        <v>0.78</v>
      </c>
      <c r="AH12" s="62">
        <v>0.87</v>
      </c>
      <c r="AI12" s="62">
        <v>0.92</v>
      </c>
      <c r="AJ12" s="62">
        <v>0.9</v>
      </c>
      <c r="AK12" s="62">
        <v>0.86</v>
      </c>
      <c r="AL12" s="62">
        <v>0.82</v>
      </c>
      <c r="AM12" s="62">
        <v>0.84</v>
      </c>
      <c r="AN12" s="62">
        <v>0.87</v>
      </c>
      <c r="AO12" s="62"/>
      <c r="AP12" s="62">
        <v>0.66</v>
      </c>
      <c r="AQ12" s="62">
        <v>0.79</v>
      </c>
      <c r="AR12" s="62">
        <v>0.88</v>
      </c>
      <c r="AS12" s="62">
        <v>0.86</v>
      </c>
      <c r="AT12" s="62">
        <v>0.78</v>
      </c>
      <c r="AU12" s="62">
        <v>0.69</v>
      </c>
      <c r="AV12" s="62">
        <v>0.64</v>
      </c>
      <c r="AW12" s="62">
        <v>0.79</v>
      </c>
      <c r="AX12" s="65"/>
      <c r="AY12" s="56">
        <f t="shared" si="2"/>
        <v>0.23399999999999999</v>
      </c>
      <c r="AZ12" s="56">
        <f t="shared" si="3"/>
        <v>0.23490000000000003</v>
      </c>
      <c r="BA12" s="56">
        <f t="shared" si="4"/>
        <v>1.0488</v>
      </c>
      <c r="BB12" s="56">
        <f t="shared" si="5"/>
        <v>0.171</v>
      </c>
      <c r="BC12" s="56">
        <f t="shared" si="6"/>
        <v>0.17200000000000001</v>
      </c>
      <c r="BD12" s="56">
        <f t="shared" si="7"/>
        <v>0.26239999999999997</v>
      </c>
      <c r="BE12" s="56">
        <f t="shared" si="8"/>
        <v>0.05039999999999999</v>
      </c>
      <c r="BF12" s="56">
        <f t="shared" si="9"/>
        <v>0.3915</v>
      </c>
      <c r="BG12" s="55"/>
      <c r="BH12" s="56">
        <f t="shared" si="10"/>
        <v>0.198</v>
      </c>
      <c r="BI12" s="56">
        <f t="shared" si="11"/>
        <v>0.21330000000000002</v>
      </c>
      <c r="BJ12" s="56">
        <f t="shared" si="12"/>
        <v>1.0031999999999999</v>
      </c>
      <c r="BK12" s="56">
        <f t="shared" si="13"/>
        <v>0.1634</v>
      </c>
      <c r="BL12" s="56">
        <f t="shared" si="14"/>
        <v>0.15600000000000003</v>
      </c>
      <c r="BM12" s="56">
        <f t="shared" si="15"/>
        <v>0.2208</v>
      </c>
      <c r="BN12" s="56">
        <f t="shared" si="16"/>
        <v>0.0384</v>
      </c>
      <c r="BO12" s="56">
        <f t="shared" si="17"/>
        <v>0.35550000000000004</v>
      </c>
    </row>
    <row r="13" spans="1:67" ht="12.75" customHeight="1">
      <c r="A13" s="48" t="s">
        <v>51</v>
      </c>
      <c r="B13" s="49"/>
      <c r="C13" s="90">
        <f t="shared" si="0"/>
        <v>100</v>
      </c>
      <c r="D13" s="50">
        <v>0.05</v>
      </c>
      <c r="E13" s="64">
        <v>0.71244</v>
      </c>
      <c r="F13" s="118">
        <v>0.44</v>
      </c>
      <c r="G13" s="118">
        <v>0.74</v>
      </c>
      <c r="H13" s="118">
        <v>0.12647999999999998</v>
      </c>
      <c r="I13" s="64">
        <v>0.2</v>
      </c>
      <c r="J13" s="118">
        <v>0.43</v>
      </c>
      <c r="K13" s="64">
        <v>0.14</v>
      </c>
      <c r="L13" s="118">
        <v>0.5094</v>
      </c>
      <c r="M13" s="119">
        <v>1864</v>
      </c>
      <c r="N13" s="119">
        <v>1003</v>
      </c>
      <c r="O13" s="119">
        <v>1434</v>
      </c>
      <c r="P13" s="119">
        <v>2007</v>
      </c>
      <c r="Q13" s="119">
        <v>1000</v>
      </c>
      <c r="R13" s="51">
        <v>11.2</v>
      </c>
      <c r="S13" s="51">
        <v>0.54</v>
      </c>
      <c r="T13" s="51">
        <v>0.16</v>
      </c>
      <c r="U13" s="53">
        <v>0.3</v>
      </c>
      <c r="V13" s="54">
        <f t="shared" si="1"/>
        <v>0.048</v>
      </c>
      <c r="W13" s="117">
        <v>2.2</v>
      </c>
      <c r="X13" s="112">
        <v>1.11</v>
      </c>
      <c r="Y13" s="55">
        <v>34.2</v>
      </c>
      <c r="Z13" s="125">
        <v>0</v>
      </c>
      <c r="AA13" s="115">
        <v>0.01</v>
      </c>
      <c r="AB13" s="115">
        <v>0.02</v>
      </c>
      <c r="AC13" s="115">
        <v>1.2</v>
      </c>
      <c r="AD13" s="126">
        <v>0</v>
      </c>
      <c r="AE13" s="115">
        <f t="shared" si="18"/>
        <v>27.5</v>
      </c>
      <c r="AF13" s="112"/>
      <c r="AG13" s="116">
        <v>0.6</v>
      </c>
      <c r="AH13" s="116">
        <v>0.68</v>
      </c>
      <c r="AI13" s="116">
        <v>0.7</v>
      </c>
      <c r="AJ13" s="116">
        <v>0.66</v>
      </c>
      <c r="AK13" s="116">
        <v>0.66</v>
      </c>
      <c r="AL13" s="116">
        <v>0.61</v>
      </c>
      <c r="AM13" s="116">
        <v>0.63</v>
      </c>
      <c r="AN13" s="116">
        <v>0.61</v>
      </c>
      <c r="AO13" s="116"/>
      <c r="AP13" s="116">
        <v>0.57</v>
      </c>
      <c r="AQ13" s="116">
        <v>0.64</v>
      </c>
      <c r="AR13" s="116">
        <v>0.66</v>
      </c>
      <c r="AS13" s="116">
        <v>0.62</v>
      </c>
      <c r="AT13" s="116">
        <v>0.62</v>
      </c>
      <c r="AU13" s="116">
        <v>0.55</v>
      </c>
      <c r="AV13" s="116">
        <v>0.57</v>
      </c>
      <c r="AW13" s="116">
        <v>0.57</v>
      </c>
      <c r="AX13" s="67"/>
      <c r="AY13" s="56">
        <f t="shared" si="2"/>
        <v>0.42746399999999996</v>
      </c>
      <c r="AZ13" s="56">
        <f t="shared" si="3"/>
        <v>0.2992</v>
      </c>
      <c r="BA13" s="56">
        <f t="shared" si="4"/>
        <v>0.518</v>
      </c>
      <c r="BB13" s="56">
        <f t="shared" si="5"/>
        <v>0.08347679999999999</v>
      </c>
      <c r="BC13" s="56">
        <f t="shared" si="6"/>
        <v>0.132</v>
      </c>
      <c r="BD13" s="56">
        <f t="shared" si="7"/>
        <v>0.2623</v>
      </c>
      <c r="BE13" s="56">
        <f t="shared" si="8"/>
        <v>0.08820000000000001</v>
      </c>
      <c r="BF13" s="56">
        <f t="shared" si="9"/>
        <v>0.31073399999999995</v>
      </c>
      <c r="BG13" s="55"/>
      <c r="BH13" s="56">
        <f t="shared" si="10"/>
        <v>0.4060907999999999</v>
      </c>
      <c r="BI13" s="56">
        <f t="shared" si="11"/>
        <v>0.2816</v>
      </c>
      <c r="BJ13" s="56">
        <f t="shared" si="12"/>
        <v>0.4884</v>
      </c>
      <c r="BK13" s="56">
        <f t="shared" si="13"/>
        <v>0.07841759999999999</v>
      </c>
      <c r="BL13" s="56">
        <f t="shared" si="14"/>
        <v>0.124</v>
      </c>
      <c r="BM13" s="56">
        <f t="shared" si="15"/>
        <v>0.23650000000000002</v>
      </c>
      <c r="BN13" s="56">
        <f t="shared" si="16"/>
        <v>0.0798</v>
      </c>
      <c r="BO13" s="56">
        <f t="shared" si="17"/>
        <v>0.29035799999999995</v>
      </c>
    </row>
    <row r="14" spans="1:67" ht="12.75">
      <c r="A14" s="71" t="s">
        <v>155</v>
      </c>
      <c r="B14" s="49"/>
      <c r="C14" s="90">
        <f t="shared" si="0"/>
        <v>100</v>
      </c>
      <c r="D14" s="50">
        <v>0.05</v>
      </c>
      <c r="E14" s="51">
        <v>0.27</v>
      </c>
      <c r="F14" s="51">
        <v>0.38</v>
      </c>
      <c r="G14" s="51">
        <v>0.8</v>
      </c>
      <c r="H14" s="51">
        <v>0.18</v>
      </c>
      <c r="I14" s="51">
        <v>0.23</v>
      </c>
      <c r="J14" s="51">
        <v>0.33</v>
      </c>
      <c r="K14" s="51">
        <v>0.1</v>
      </c>
      <c r="L14" s="51">
        <v>0.46</v>
      </c>
      <c r="M14" s="74">
        <v>3700</v>
      </c>
      <c r="N14" s="52"/>
      <c r="O14" s="52"/>
      <c r="P14" s="74">
        <v>3940</v>
      </c>
      <c r="Q14" s="74">
        <v>2415</v>
      </c>
      <c r="R14" s="51">
        <v>10.8</v>
      </c>
      <c r="S14" s="51">
        <v>0.13</v>
      </c>
      <c r="T14" s="51">
        <v>0.25</v>
      </c>
      <c r="U14" s="72">
        <v>0.2</v>
      </c>
      <c r="V14" s="54">
        <f t="shared" si="1"/>
        <v>0.05</v>
      </c>
      <c r="W14" s="55">
        <v>11.3</v>
      </c>
      <c r="X14" s="55">
        <v>5.7</v>
      </c>
      <c r="Y14" s="55"/>
      <c r="Z14" s="125">
        <v>0</v>
      </c>
      <c r="AA14" s="87">
        <v>1.14</v>
      </c>
      <c r="AB14" s="87">
        <v>1.48</v>
      </c>
      <c r="AC14" s="87">
        <v>0.39</v>
      </c>
      <c r="AD14" s="126">
        <v>0</v>
      </c>
      <c r="AE14" s="109">
        <f t="shared" si="18"/>
        <v>141.25</v>
      </c>
      <c r="AF14" s="55"/>
      <c r="AG14" s="72">
        <f aca="true" t="shared" si="19" ref="AG14:AN14">AG8</f>
        <v>0.78</v>
      </c>
      <c r="AH14" s="72">
        <f t="shared" si="19"/>
        <v>0.87</v>
      </c>
      <c r="AI14" s="72">
        <f t="shared" si="19"/>
        <v>0.92</v>
      </c>
      <c r="AJ14" s="72">
        <f t="shared" si="19"/>
        <v>0.9</v>
      </c>
      <c r="AK14" s="72">
        <f t="shared" si="19"/>
        <v>0.86</v>
      </c>
      <c r="AL14" s="72">
        <f t="shared" si="19"/>
        <v>0.82</v>
      </c>
      <c r="AM14" s="72">
        <f t="shared" si="19"/>
        <v>0.84</v>
      </c>
      <c r="AN14" s="72">
        <f t="shared" si="19"/>
        <v>0.87</v>
      </c>
      <c r="AO14" s="55"/>
      <c r="AP14" s="53">
        <v>0.62</v>
      </c>
      <c r="AQ14" s="53">
        <v>0.84</v>
      </c>
      <c r="AR14" s="53">
        <v>0.84</v>
      </c>
      <c r="AS14" s="53">
        <v>0.84</v>
      </c>
      <c r="AT14" s="53">
        <v>0.87</v>
      </c>
      <c r="AU14" s="53">
        <v>0.72</v>
      </c>
      <c r="AV14" s="53">
        <v>0.77</v>
      </c>
      <c r="AW14" s="53">
        <v>0.81</v>
      </c>
      <c r="AX14" s="53"/>
      <c r="AY14" s="56">
        <f t="shared" si="2"/>
        <v>0.2106</v>
      </c>
      <c r="AZ14" s="56">
        <f t="shared" si="3"/>
        <v>0.3306</v>
      </c>
      <c r="BA14" s="56">
        <f t="shared" si="4"/>
        <v>0.7360000000000001</v>
      </c>
      <c r="BB14" s="56">
        <f t="shared" si="5"/>
        <v>0.162</v>
      </c>
      <c r="BC14" s="56">
        <f t="shared" si="6"/>
        <v>0.1978</v>
      </c>
      <c r="BD14" s="56">
        <f t="shared" si="7"/>
        <v>0.2706</v>
      </c>
      <c r="BE14" s="56">
        <f t="shared" si="8"/>
        <v>0.084</v>
      </c>
      <c r="BF14" s="56">
        <f t="shared" si="9"/>
        <v>0.4002</v>
      </c>
      <c r="BG14" s="55"/>
      <c r="BH14" s="56">
        <f t="shared" si="10"/>
        <v>0.16740000000000002</v>
      </c>
      <c r="BI14" s="56">
        <f t="shared" si="11"/>
        <v>0.3192</v>
      </c>
      <c r="BJ14" s="56">
        <f t="shared" si="12"/>
        <v>0.672</v>
      </c>
      <c r="BK14" s="56">
        <f t="shared" si="13"/>
        <v>0.1512</v>
      </c>
      <c r="BL14" s="56">
        <f t="shared" si="14"/>
        <v>0.2001</v>
      </c>
      <c r="BM14" s="56">
        <f t="shared" si="15"/>
        <v>0.2376</v>
      </c>
      <c r="BN14" s="56">
        <f t="shared" si="16"/>
        <v>0.07700000000000001</v>
      </c>
      <c r="BO14" s="56">
        <f t="shared" si="17"/>
        <v>0.37260000000000004</v>
      </c>
    </row>
    <row r="15" spans="1:67" ht="12.75">
      <c r="A15" s="71" t="s">
        <v>157</v>
      </c>
      <c r="B15" s="49"/>
      <c r="C15" s="90">
        <f t="shared" si="0"/>
        <v>90</v>
      </c>
      <c r="D15" s="50">
        <v>0.045</v>
      </c>
      <c r="E15" s="51">
        <v>0.62</v>
      </c>
      <c r="F15" s="51">
        <v>1.03</v>
      </c>
      <c r="G15" s="51">
        <v>2.57</v>
      </c>
      <c r="H15" s="51">
        <v>0.5</v>
      </c>
      <c r="I15" s="51">
        <v>0.52</v>
      </c>
      <c r="J15" s="51">
        <v>0.94</v>
      </c>
      <c r="K15" s="51">
        <v>0.25</v>
      </c>
      <c r="L15" s="51">
        <v>1.3</v>
      </c>
      <c r="M15" s="74">
        <v>2820</v>
      </c>
      <c r="N15" s="52"/>
      <c r="O15" s="52"/>
      <c r="P15" s="74">
        <v>3200</v>
      </c>
      <c r="Q15" s="74">
        <v>2065</v>
      </c>
      <c r="R15" s="51">
        <v>27.7</v>
      </c>
      <c r="S15" s="51">
        <v>0.2</v>
      </c>
      <c r="T15" s="51">
        <v>0.77</v>
      </c>
      <c r="U15" s="72">
        <v>0.77</v>
      </c>
      <c r="V15" s="54">
        <f t="shared" si="1"/>
        <v>0.5929</v>
      </c>
      <c r="W15" s="55">
        <v>8.4</v>
      </c>
      <c r="X15" s="55">
        <v>2.15</v>
      </c>
      <c r="Y15" s="55">
        <v>7.3</v>
      </c>
      <c r="Z15" s="125">
        <v>0</v>
      </c>
      <c r="AA15" s="87">
        <v>0.25</v>
      </c>
      <c r="AB15" s="87">
        <v>0.2</v>
      </c>
      <c r="AC15" s="87">
        <v>0.84</v>
      </c>
      <c r="AD15" s="126">
        <v>0</v>
      </c>
      <c r="AE15" s="109">
        <f t="shared" si="18"/>
        <v>105</v>
      </c>
      <c r="AF15" s="55"/>
      <c r="AG15" s="72">
        <f>AG8</f>
        <v>0.78</v>
      </c>
      <c r="AH15" s="72">
        <f aca="true" t="shared" si="20" ref="AH15:AN15">AH8</f>
        <v>0.87</v>
      </c>
      <c r="AI15" s="72">
        <f t="shared" si="20"/>
        <v>0.92</v>
      </c>
      <c r="AJ15" s="72">
        <f t="shared" si="20"/>
        <v>0.9</v>
      </c>
      <c r="AK15" s="72">
        <f t="shared" si="20"/>
        <v>0.86</v>
      </c>
      <c r="AL15" s="72">
        <f t="shared" si="20"/>
        <v>0.82</v>
      </c>
      <c r="AM15" s="72">
        <f t="shared" si="20"/>
        <v>0.84</v>
      </c>
      <c r="AN15" s="72">
        <f t="shared" si="20"/>
        <v>0.87</v>
      </c>
      <c r="AO15" s="55"/>
      <c r="AP15" s="53">
        <v>0.47</v>
      </c>
      <c r="AQ15" s="53">
        <v>0.66</v>
      </c>
      <c r="AR15" s="53">
        <v>0.76</v>
      </c>
      <c r="AS15" s="53">
        <v>0.72</v>
      </c>
      <c r="AT15" s="53">
        <v>0.57</v>
      </c>
      <c r="AU15" s="53">
        <v>0.55</v>
      </c>
      <c r="AV15" s="53">
        <v>0.5</v>
      </c>
      <c r="AW15" s="53">
        <v>0.63</v>
      </c>
      <c r="AX15" s="53"/>
      <c r="AY15" s="56">
        <f t="shared" si="2"/>
        <v>0.48360000000000003</v>
      </c>
      <c r="AZ15" s="56">
        <f t="shared" si="3"/>
        <v>0.8961</v>
      </c>
      <c r="BA15" s="56">
        <f t="shared" si="4"/>
        <v>2.3644</v>
      </c>
      <c r="BB15" s="56">
        <f t="shared" si="5"/>
        <v>0.45</v>
      </c>
      <c r="BC15" s="56">
        <f t="shared" si="6"/>
        <v>0.4472</v>
      </c>
      <c r="BD15" s="56">
        <f t="shared" si="7"/>
        <v>0.7707999999999999</v>
      </c>
      <c r="BE15" s="56">
        <f t="shared" si="8"/>
        <v>0.21</v>
      </c>
      <c r="BF15" s="56">
        <f t="shared" si="9"/>
        <v>1.131</v>
      </c>
      <c r="BG15" s="55"/>
      <c r="BH15" s="56">
        <f t="shared" si="10"/>
        <v>0.2914</v>
      </c>
      <c r="BI15" s="56">
        <f t="shared" si="11"/>
        <v>0.6798000000000001</v>
      </c>
      <c r="BJ15" s="56">
        <f t="shared" si="12"/>
        <v>1.9531999999999998</v>
      </c>
      <c r="BK15" s="56">
        <f t="shared" si="13"/>
        <v>0.36</v>
      </c>
      <c r="BL15" s="56">
        <f t="shared" si="14"/>
        <v>0.2964</v>
      </c>
      <c r="BM15" s="56">
        <f t="shared" si="15"/>
        <v>0.517</v>
      </c>
      <c r="BN15" s="56">
        <f t="shared" si="16"/>
        <v>0.125</v>
      </c>
      <c r="BO15" s="56">
        <f t="shared" si="17"/>
        <v>0.8190000000000001</v>
      </c>
    </row>
    <row r="16" spans="1:67" ht="12.75">
      <c r="A16" s="71" t="s">
        <v>160</v>
      </c>
      <c r="B16" s="49"/>
      <c r="C16" s="90">
        <f t="shared" si="0"/>
        <v>90</v>
      </c>
      <c r="D16" s="50">
        <v>0.045</v>
      </c>
      <c r="E16" s="51">
        <v>0.38</v>
      </c>
      <c r="F16" s="51">
        <v>0.36</v>
      </c>
      <c r="G16" s="51">
        <v>0.98</v>
      </c>
      <c r="H16" s="51">
        <v>0.18</v>
      </c>
      <c r="I16" s="51">
        <v>0.18</v>
      </c>
      <c r="J16" s="51">
        <v>0.4</v>
      </c>
      <c r="K16" s="51">
        <v>0.1</v>
      </c>
      <c r="L16" s="51">
        <v>0.52</v>
      </c>
      <c r="M16" s="74">
        <v>3210</v>
      </c>
      <c r="N16" s="52">
        <v>2714</v>
      </c>
      <c r="O16" s="52">
        <v>2389</v>
      </c>
      <c r="P16" s="74">
        <v>3355</v>
      </c>
      <c r="Q16" s="74">
        <v>2260</v>
      </c>
      <c r="R16" s="51">
        <v>10.3</v>
      </c>
      <c r="S16" s="51">
        <v>0.04</v>
      </c>
      <c r="T16" s="51">
        <v>0.43</v>
      </c>
      <c r="U16" s="72">
        <v>0.14</v>
      </c>
      <c r="V16" s="54">
        <f t="shared" si="1"/>
        <v>0.060200000000000004</v>
      </c>
      <c r="W16" s="55">
        <v>6.7</v>
      </c>
      <c r="X16" s="55">
        <v>2.97</v>
      </c>
      <c r="Y16" s="55">
        <v>5.5</v>
      </c>
      <c r="Z16" s="125">
        <v>0</v>
      </c>
      <c r="AA16" s="87">
        <v>0.08</v>
      </c>
      <c r="AB16" s="87">
        <v>0.07</v>
      </c>
      <c r="AC16" s="87">
        <v>0.61</v>
      </c>
      <c r="AD16" s="126">
        <v>0</v>
      </c>
      <c r="AE16" s="109">
        <f t="shared" si="18"/>
        <v>83.75</v>
      </c>
      <c r="AF16" s="55"/>
      <c r="AG16" s="72">
        <f>AG8</f>
        <v>0.78</v>
      </c>
      <c r="AH16" s="72">
        <f aca="true" t="shared" si="21" ref="AH16:AW16">AH8</f>
        <v>0.87</v>
      </c>
      <c r="AI16" s="72">
        <f t="shared" si="21"/>
        <v>0.92</v>
      </c>
      <c r="AJ16" s="72">
        <f t="shared" si="21"/>
        <v>0.9</v>
      </c>
      <c r="AK16" s="72">
        <f t="shared" si="21"/>
        <v>0.86</v>
      </c>
      <c r="AL16" s="72">
        <f t="shared" si="21"/>
        <v>0.82</v>
      </c>
      <c r="AM16" s="72">
        <f t="shared" si="21"/>
        <v>0.84</v>
      </c>
      <c r="AN16" s="72">
        <f t="shared" si="21"/>
        <v>0.87</v>
      </c>
      <c r="AO16" s="72"/>
      <c r="AP16" s="72">
        <f t="shared" si="21"/>
        <v>0.66</v>
      </c>
      <c r="AQ16" s="72">
        <f t="shared" si="21"/>
        <v>0.79</v>
      </c>
      <c r="AR16" s="72">
        <f t="shared" si="21"/>
        <v>0.88</v>
      </c>
      <c r="AS16" s="72">
        <f t="shared" si="21"/>
        <v>0.86</v>
      </c>
      <c r="AT16" s="72">
        <f t="shared" si="21"/>
        <v>0.78</v>
      </c>
      <c r="AU16" s="72">
        <f t="shared" si="21"/>
        <v>0.69</v>
      </c>
      <c r="AV16" s="72">
        <f t="shared" si="21"/>
        <v>0.64</v>
      </c>
      <c r="AW16" s="72">
        <f t="shared" si="21"/>
        <v>0.79</v>
      </c>
      <c r="AX16" s="53"/>
      <c r="AY16" s="56">
        <f t="shared" si="2"/>
        <v>0.2964</v>
      </c>
      <c r="AZ16" s="56">
        <f t="shared" si="3"/>
        <v>0.3132</v>
      </c>
      <c r="BA16" s="56">
        <f t="shared" si="4"/>
        <v>0.9016000000000001</v>
      </c>
      <c r="BB16" s="56">
        <f t="shared" si="5"/>
        <v>0.162</v>
      </c>
      <c r="BC16" s="56">
        <f t="shared" si="6"/>
        <v>0.1548</v>
      </c>
      <c r="BD16" s="56">
        <f t="shared" si="7"/>
        <v>0.328</v>
      </c>
      <c r="BE16" s="56">
        <f t="shared" si="8"/>
        <v>0.084</v>
      </c>
      <c r="BF16" s="56">
        <f t="shared" si="9"/>
        <v>0.4524</v>
      </c>
      <c r="BG16" s="55"/>
      <c r="BH16" s="56">
        <f t="shared" si="10"/>
        <v>0.2508</v>
      </c>
      <c r="BI16" s="56">
        <f t="shared" si="11"/>
        <v>0.2844</v>
      </c>
      <c r="BJ16" s="56">
        <f t="shared" si="12"/>
        <v>0.8623999999999999</v>
      </c>
      <c r="BK16" s="56">
        <f t="shared" si="13"/>
        <v>0.1548</v>
      </c>
      <c r="BL16" s="56">
        <f t="shared" si="14"/>
        <v>0.1404</v>
      </c>
      <c r="BM16" s="56">
        <f t="shared" si="15"/>
        <v>0.27599999999999997</v>
      </c>
      <c r="BN16" s="56">
        <f t="shared" si="16"/>
        <v>0.064</v>
      </c>
      <c r="BO16" s="56">
        <f t="shared" si="17"/>
        <v>0.41080000000000005</v>
      </c>
    </row>
    <row r="17" spans="1:67" ht="12.75">
      <c r="A17" s="75" t="s">
        <v>66</v>
      </c>
      <c r="B17" s="76"/>
      <c r="C17" s="90">
        <f t="shared" si="0"/>
        <v>100</v>
      </c>
      <c r="D17" s="50">
        <v>0.05</v>
      </c>
      <c r="E17" s="77">
        <v>0.64</v>
      </c>
      <c r="F17" s="77">
        <v>0.49</v>
      </c>
      <c r="G17" s="77">
        <v>0.98</v>
      </c>
      <c r="H17" s="77">
        <v>0.25</v>
      </c>
      <c r="I17" s="77">
        <v>0.08</v>
      </c>
      <c r="J17" s="77">
        <v>0.52</v>
      </c>
      <c r="K17" s="77">
        <v>0.22</v>
      </c>
      <c r="L17" s="77">
        <v>0.72</v>
      </c>
      <c r="M17" s="59">
        <v>2275</v>
      </c>
      <c r="N17" s="59">
        <v>1430</v>
      </c>
      <c r="O17" s="59">
        <v>1570</v>
      </c>
      <c r="P17" s="59">
        <v>2420</v>
      </c>
      <c r="Q17" s="59">
        <v>1400</v>
      </c>
      <c r="R17" s="77">
        <v>15.7</v>
      </c>
      <c r="S17" s="77">
        <v>0.16</v>
      </c>
      <c r="T17" s="77">
        <v>1.2</v>
      </c>
      <c r="U17" s="53">
        <v>0.29</v>
      </c>
      <c r="V17" s="54">
        <f t="shared" si="1"/>
        <v>0.348</v>
      </c>
      <c r="W17" s="106">
        <v>4</v>
      </c>
      <c r="X17" s="106">
        <v>1.8</v>
      </c>
      <c r="Y17" s="55">
        <v>9.2</v>
      </c>
      <c r="Z17" s="125">
        <v>0</v>
      </c>
      <c r="AA17" s="87">
        <v>0.04</v>
      </c>
      <c r="AB17" s="87">
        <v>0.07</v>
      </c>
      <c r="AC17" s="87">
        <v>1.26</v>
      </c>
      <c r="AD17" s="126">
        <v>0</v>
      </c>
      <c r="AE17" s="109">
        <f t="shared" si="18"/>
        <v>50</v>
      </c>
      <c r="AF17" s="55"/>
      <c r="AG17" s="78">
        <v>0.71</v>
      </c>
      <c r="AH17" s="78">
        <v>0.76</v>
      </c>
      <c r="AI17" s="78">
        <v>0.78</v>
      </c>
      <c r="AJ17" s="78">
        <v>0.79</v>
      </c>
      <c r="AK17" s="78">
        <v>0.77</v>
      </c>
      <c r="AL17" s="78">
        <v>0.7</v>
      </c>
      <c r="AM17" s="78">
        <v>0.74</v>
      </c>
      <c r="AN17" s="78">
        <v>0.75</v>
      </c>
      <c r="AO17" s="55"/>
      <c r="AP17" s="78">
        <v>0.69</v>
      </c>
      <c r="AQ17" s="78">
        <v>0.69</v>
      </c>
      <c r="AR17" s="78">
        <v>0.71</v>
      </c>
      <c r="AS17" s="78">
        <v>0.76</v>
      </c>
      <c r="AT17" s="78">
        <v>0.7</v>
      </c>
      <c r="AU17" s="78">
        <v>0.6</v>
      </c>
      <c r="AV17" s="78">
        <v>0.65</v>
      </c>
      <c r="AW17" s="78">
        <v>0.7</v>
      </c>
      <c r="AX17" s="79"/>
      <c r="AY17" s="56">
        <f t="shared" si="2"/>
        <v>0.45439999999999997</v>
      </c>
      <c r="AZ17" s="56">
        <f t="shared" si="3"/>
        <v>0.3724</v>
      </c>
      <c r="BA17" s="56">
        <f t="shared" si="4"/>
        <v>0.7644</v>
      </c>
      <c r="BB17" s="56">
        <f t="shared" si="5"/>
        <v>0.1975</v>
      </c>
      <c r="BC17" s="56">
        <f t="shared" si="6"/>
        <v>0.0616</v>
      </c>
      <c r="BD17" s="56">
        <f t="shared" si="7"/>
        <v>0.364</v>
      </c>
      <c r="BE17" s="56">
        <f t="shared" si="8"/>
        <v>0.1628</v>
      </c>
      <c r="BF17" s="56">
        <f t="shared" si="9"/>
        <v>0.54</v>
      </c>
      <c r="BG17" s="55"/>
      <c r="BH17" s="56">
        <f t="shared" si="10"/>
        <v>0.4416</v>
      </c>
      <c r="BI17" s="56">
        <f t="shared" si="11"/>
        <v>0.33809999999999996</v>
      </c>
      <c r="BJ17" s="56">
        <f t="shared" si="12"/>
        <v>0.6958</v>
      </c>
      <c r="BK17" s="56">
        <f t="shared" si="13"/>
        <v>0.19</v>
      </c>
      <c r="BL17" s="56">
        <f t="shared" si="14"/>
        <v>0.055999999999999994</v>
      </c>
      <c r="BM17" s="56">
        <f t="shared" si="15"/>
        <v>0.312</v>
      </c>
      <c r="BN17" s="56">
        <f t="shared" si="16"/>
        <v>0.14300000000000002</v>
      </c>
      <c r="BO17" s="56">
        <f t="shared" si="17"/>
        <v>0.504</v>
      </c>
    </row>
    <row r="18" spans="1:67" ht="12.75">
      <c r="A18" s="75" t="s">
        <v>63</v>
      </c>
      <c r="B18" s="76"/>
      <c r="C18" s="90">
        <f t="shared" si="0"/>
        <v>120</v>
      </c>
      <c r="D18" s="50">
        <v>0.06</v>
      </c>
      <c r="E18" s="77">
        <v>0.57</v>
      </c>
      <c r="F18" s="77">
        <v>0.53</v>
      </c>
      <c r="G18" s="77">
        <v>1.06</v>
      </c>
      <c r="H18" s="77">
        <v>0.26</v>
      </c>
      <c r="I18" s="77">
        <v>0.32</v>
      </c>
      <c r="J18" s="77">
        <v>0.51</v>
      </c>
      <c r="K18" s="77">
        <v>0.2</v>
      </c>
      <c r="L18" s="77">
        <v>0.75</v>
      </c>
      <c r="M18" s="59">
        <v>3025</v>
      </c>
      <c r="N18" s="59">
        <v>1850</v>
      </c>
      <c r="O18" s="59">
        <v>1950</v>
      </c>
      <c r="P18" s="59">
        <v>3075</v>
      </c>
      <c r="Q18" s="59">
        <v>1560</v>
      </c>
      <c r="R18" s="77">
        <v>15.9</v>
      </c>
      <c r="S18" s="77">
        <v>0.12</v>
      </c>
      <c r="T18" s="77">
        <v>0.93</v>
      </c>
      <c r="U18" s="53">
        <v>0.41</v>
      </c>
      <c r="V18" s="54">
        <f t="shared" si="1"/>
        <v>0.3813</v>
      </c>
      <c r="W18" s="106">
        <v>4.2</v>
      </c>
      <c r="X18" s="106">
        <v>1.74</v>
      </c>
      <c r="Y18" s="55">
        <v>7</v>
      </c>
      <c r="Z18" s="125">
        <v>0</v>
      </c>
      <c r="AA18" s="87">
        <v>0.05</v>
      </c>
      <c r="AB18" s="87">
        <v>0.04</v>
      </c>
      <c r="AC18" s="87">
        <v>1.06</v>
      </c>
      <c r="AD18" s="126">
        <v>0</v>
      </c>
      <c r="AE18" s="109">
        <f t="shared" si="18"/>
        <v>52.5</v>
      </c>
      <c r="AF18" s="55"/>
      <c r="AG18" s="80">
        <v>0.89</v>
      </c>
      <c r="AH18" s="80">
        <v>0.92</v>
      </c>
      <c r="AI18" s="80">
        <v>0.93</v>
      </c>
      <c r="AJ18" s="80">
        <v>0.93</v>
      </c>
      <c r="AK18" s="80">
        <v>0.91</v>
      </c>
      <c r="AL18" s="80">
        <v>0.88</v>
      </c>
      <c r="AM18" s="80">
        <v>0.91</v>
      </c>
      <c r="AN18" s="80">
        <v>0.9</v>
      </c>
      <c r="AO18" s="55"/>
      <c r="AP18" s="80">
        <v>0.75</v>
      </c>
      <c r="AQ18" s="80">
        <v>0.77</v>
      </c>
      <c r="AR18" s="80">
        <v>0.78</v>
      </c>
      <c r="AS18" s="80">
        <v>0.82</v>
      </c>
      <c r="AT18" s="80">
        <v>0.82</v>
      </c>
      <c r="AU18" s="80">
        <v>0.69</v>
      </c>
      <c r="AV18" s="80">
        <v>0.77</v>
      </c>
      <c r="AW18" s="80">
        <v>0.76</v>
      </c>
      <c r="AX18" s="80"/>
      <c r="AY18" s="56">
        <f t="shared" si="2"/>
        <v>0.5073</v>
      </c>
      <c r="AZ18" s="56">
        <f t="shared" si="3"/>
        <v>0.48760000000000003</v>
      </c>
      <c r="BA18" s="56">
        <f t="shared" si="4"/>
        <v>0.9858000000000001</v>
      </c>
      <c r="BB18" s="56">
        <f t="shared" si="5"/>
        <v>0.24180000000000001</v>
      </c>
      <c r="BC18" s="56">
        <f t="shared" si="6"/>
        <v>0.2912</v>
      </c>
      <c r="BD18" s="56">
        <f t="shared" si="7"/>
        <v>0.44880000000000003</v>
      </c>
      <c r="BE18" s="56">
        <f t="shared" si="8"/>
        <v>0.18200000000000002</v>
      </c>
      <c r="BF18" s="56">
        <f t="shared" si="9"/>
        <v>0.675</v>
      </c>
      <c r="BG18" s="55"/>
      <c r="BH18" s="56">
        <f t="shared" si="10"/>
        <v>0.4275</v>
      </c>
      <c r="BI18" s="56">
        <f t="shared" si="11"/>
        <v>0.4081</v>
      </c>
      <c r="BJ18" s="56">
        <f t="shared" si="12"/>
        <v>0.8268000000000001</v>
      </c>
      <c r="BK18" s="56">
        <f t="shared" si="13"/>
        <v>0.2132</v>
      </c>
      <c r="BL18" s="56">
        <f t="shared" si="14"/>
        <v>0.26239999999999997</v>
      </c>
      <c r="BM18" s="56">
        <f t="shared" si="15"/>
        <v>0.3519</v>
      </c>
      <c r="BN18" s="56">
        <f t="shared" si="16"/>
        <v>0.15400000000000003</v>
      </c>
      <c r="BO18" s="56">
        <f t="shared" si="17"/>
        <v>0.5700000000000001</v>
      </c>
    </row>
    <row r="19" spans="1:67" ht="12.75" customHeight="1">
      <c r="A19" s="48" t="s">
        <v>4</v>
      </c>
      <c r="B19" s="57">
        <v>46.5</v>
      </c>
      <c r="C19" s="90">
        <f t="shared" si="0"/>
        <v>310</v>
      </c>
      <c r="D19" s="50">
        <f>Calculator!E5/2000</f>
        <v>0.155</v>
      </c>
      <c r="E19" s="51">
        <f>3.02/$R19*$B19</f>
        <v>3.0199999999999996</v>
      </c>
      <c r="F19" s="51">
        <f>2.16/$R19*$B19</f>
        <v>2.16</v>
      </c>
      <c r="G19" s="51">
        <f>3.66/$R19*$B19</f>
        <v>3.6600000000000006</v>
      </c>
      <c r="H19" s="51">
        <f>0.67/$R19*$B19</f>
        <v>0.67</v>
      </c>
      <c r="I19" s="51">
        <f>0.74/$R19*$B19</f>
        <v>0.74</v>
      </c>
      <c r="J19" s="51">
        <f>1.85/$R19*$B19</f>
        <v>1.85</v>
      </c>
      <c r="K19" s="51">
        <f>0.65/$R19*$B19</f>
        <v>0.65</v>
      </c>
      <c r="L19" s="51">
        <f>2.268/$R19*$B19</f>
        <v>2.268</v>
      </c>
      <c r="M19" s="52">
        <v>3380</v>
      </c>
      <c r="N19" s="52">
        <v>2000</v>
      </c>
      <c r="O19" s="52">
        <v>2120</v>
      </c>
      <c r="P19" s="52">
        <v>3685</v>
      </c>
      <c r="Q19" s="52">
        <v>2020</v>
      </c>
      <c r="R19" s="51">
        <v>46.5</v>
      </c>
      <c r="S19" s="51">
        <v>0.34</v>
      </c>
      <c r="T19" s="51">
        <v>0.69</v>
      </c>
      <c r="U19" s="53">
        <v>0.23</v>
      </c>
      <c r="V19" s="54">
        <f t="shared" si="1"/>
        <v>0.1587</v>
      </c>
      <c r="W19" s="107">
        <v>1.5</v>
      </c>
      <c r="X19" s="55">
        <v>0.6</v>
      </c>
      <c r="Y19" s="55">
        <v>3.9</v>
      </c>
      <c r="Z19" s="125">
        <v>0</v>
      </c>
      <c r="AA19" s="87">
        <v>0.02</v>
      </c>
      <c r="AB19" s="87">
        <v>0.05</v>
      </c>
      <c r="AC19" s="87">
        <v>2.14</v>
      </c>
      <c r="AD19" s="126">
        <v>0</v>
      </c>
      <c r="AE19" s="109">
        <f t="shared" si="18"/>
        <v>18.75</v>
      </c>
      <c r="AF19" s="55"/>
      <c r="AG19" s="53">
        <v>0.9</v>
      </c>
      <c r="AH19" s="53">
        <v>0.89</v>
      </c>
      <c r="AI19" s="53">
        <v>0.89</v>
      </c>
      <c r="AJ19" s="53">
        <v>0.91</v>
      </c>
      <c r="AK19" s="53">
        <v>0.87</v>
      </c>
      <c r="AL19" s="53">
        <v>0.87</v>
      </c>
      <c r="AM19" s="58">
        <v>0.9</v>
      </c>
      <c r="AN19" s="53">
        <v>0.88</v>
      </c>
      <c r="AO19" s="53"/>
      <c r="AP19" s="53">
        <v>0.85</v>
      </c>
      <c r="AQ19" s="53">
        <v>0.84</v>
      </c>
      <c r="AR19" s="53">
        <v>0.84</v>
      </c>
      <c r="AS19" s="53">
        <v>0.86</v>
      </c>
      <c r="AT19" s="53">
        <v>0.79</v>
      </c>
      <c r="AU19" s="53">
        <v>0.78</v>
      </c>
      <c r="AV19" s="53">
        <v>0.81</v>
      </c>
      <c r="AW19" s="53">
        <v>0.81</v>
      </c>
      <c r="AX19" s="53"/>
      <c r="AY19" s="56">
        <f t="shared" si="2"/>
        <v>2.7179999999999995</v>
      </c>
      <c r="AZ19" s="56">
        <f t="shared" si="3"/>
        <v>1.9224</v>
      </c>
      <c r="BA19" s="56">
        <f t="shared" si="4"/>
        <v>3.2574000000000005</v>
      </c>
      <c r="BB19" s="56">
        <f t="shared" si="5"/>
        <v>0.6097</v>
      </c>
      <c r="BC19" s="56">
        <f t="shared" si="6"/>
        <v>0.6438</v>
      </c>
      <c r="BD19" s="56">
        <f t="shared" si="7"/>
        <v>1.6095000000000002</v>
      </c>
      <c r="BE19" s="56">
        <f t="shared" si="8"/>
        <v>0.5850000000000001</v>
      </c>
      <c r="BF19" s="56">
        <f t="shared" si="9"/>
        <v>1.9958399999999998</v>
      </c>
      <c r="BG19" s="55"/>
      <c r="BH19" s="56">
        <f t="shared" si="10"/>
        <v>2.5669999999999997</v>
      </c>
      <c r="BI19" s="56">
        <f t="shared" si="11"/>
        <v>1.8144</v>
      </c>
      <c r="BJ19" s="56">
        <f t="shared" si="12"/>
        <v>3.0744000000000002</v>
      </c>
      <c r="BK19" s="56">
        <f t="shared" si="13"/>
        <v>0.5762</v>
      </c>
      <c r="BL19" s="56">
        <f t="shared" si="14"/>
        <v>0.5846</v>
      </c>
      <c r="BM19" s="56">
        <f t="shared" si="15"/>
        <v>1.443</v>
      </c>
      <c r="BN19" s="56">
        <f t="shared" si="16"/>
        <v>0.5265000000000001</v>
      </c>
      <c r="BO19" s="56">
        <f t="shared" si="17"/>
        <v>1.83708</v>
      </c>
    </row>
    <row r="20" spans="1:67" ht="12.75" customHeight="1">
      <c r="A20" s="48" t="s">
        <v>59</v>
      </c>
      <c r="B20" s="57">
        <v>46.5</v>
      </c>
      <c r="C20" s="90">
        <f t="shared" si="0"/>
        <v>200</v>
      </c>
      <c r="D20" s="50">
        <v>0.1</v>
      </c>
      <c r="E20" s="51">
        <f>3.02/$R20*$B20</f>
        <v>3.0199999999999996</v>
      </c>
      <c r="F20" s="51">
        <f>2.16/$R20*$B20</f>
        <v>2.16</v>
      </c>
      <c r="G20" s="51">
        <f>3.66/$R20*$B20</f>
        <v>3.6600000000000006</v>
      </c>
      <c r="H20" s="51">
        <f>0.67/$R20*$B20</f>
        <v>0.67</v>
      </c>
      <c r="I20" s="51">
        <f>0.74/$R20*$B20</f>
        <v>0.74</v>
      </c>
      <c r="J20" s="51">
        <f>1.85/$R20*$B20</f>
        <v>1.85</v>
      </c>
      <c r="K20" s="51">
        <f>0.65/$R20*$B20</f>
        <v>0.65</v>
      </c>
      <c r="L20" s="51">
        <f>2.268/$R20*$B20</f>
        <v>2.268</v>
      </c>
      <c r="M20" s="59">
        <v>3843</v>
      </c>
      <c r="N20" s="60">
        <v>2273.96449704142</v>
      </c>
      <c r="O20" s="60">
        <v>2410.402366863905</v>
      </c>
      <c r="P20" s="60">
        <f>M20/0.96</f>
        <v>4003.125</v>
      </c>
      <c r="Q20" s="60">
        <v>2296.7041420118344</v>
      </c>
      <c r="R20" s="51">
        <v>46.5</v>
      </c>
      <c r="S20" s="51">
        <v>0.34</v>
      </c>
      <c r="T20" s="51">
        <v>0.69</v>
      </c>
      <c r="U20" s="53">
        <v>0.23</v>
      </c>
      <c r="V20" s="54">
        <f t="shared" si="1"/>
        <v>0.1587</v>
      </c>
      <c r="W20" s="108">
        <v>6.5</v>
      </c>
      <c r="X20" s="110">
        <f>W20*0.51</f>
        <v>3.315</v>
      </c>
      <c r="Y20" s="55">
        <v>3.9</v>
      </c>
      <c r="Z20" s="125">
        <v>0</v>
      </c>
      <c r="AA20" s="87">
        <v>0.02</v>
      </c>
      <c r="AB20" s="87">
        <v>0.05</v>
      </c>
      <c r="AC20" s="87">
        <v>2.14</v>
      </c>
      <c r="AD20" s="126">
        <v>0</v>
      </c>
      <c r="AE20" s="109">
        <f>130*W20/10</f>
        <v>84.5</v>
      </c>
      <c r="AF20" s="55"/>
      <c r="AG20" s="53">
        <v>0.89</v>
      </c>
      <c r="AH20" s="53">
        <v>0.88</v>
      </c>
      <c r="AI20" s="53">
        <v>0.88</v>
      </c>
      <c r="AJ20" s="53">
        <v>0.91</v>
      </c>
      <c r="AK20" s="53">
        <v>0.84</v>
      </c>
      <c r="AL20" s="53">
        <v>0.85</v>
      </c>
      <c r="AM20" s="53">
        <v>0.87</v>
      </c>
      <c r="AN20" s="53">
        <v>0.86</v>
      </c>
      <c r="AO20" s="53"/>
      <c r="AP20" s="53">
        <v>0.85</v>
      </c>
      <c r="AQ20" s="53">
        <v>0.84</v>
      </c>
      <c r="AR20" s="53">
        <v>0.84</v>
      </c>
      <c r="AS20" s="53">
        <v>0.86</v>
      </c>
      <c r="AT20" s="53">
        <v>0.77</v>
      </c>
      <c r="AU20" s="53">
        <v>0.78</v>
      </c>
      <c r="AV20" s="53">
        <v>0.8</v>
      </c>
      <c r="AW20" s="53">
        <v>0.81</v>
      </c>
      <c r="AX20" s="53"/>
      <c r="AY20" s="56">
        <f t="shared" si="2"/>
        <v>2.6877999999999997</v>
      </c>
      <c r="AZ20" s="56">
        <f t="shared" si="3"/>
        <v>1.9008</v>
      </c>
      <c r="BA20" s="56">
        <f t="shared" si="4"/>
        <v>3.2208000000000006</v>
      </c>
      <c r="BB20" s="56">
        <f t="shared" si="5"/>
        <v>0.6097</v>
      </c>
      <c r="BC20" s="56">
        <f t="shared" si="6"/>
        <v>0.6215999999999999</v>
      </c>
      <c r="BD20" s="56">
        <f t="shared" si="7"/>
        <v>1.5725</v>
      </c>
      <c r="BE20" s="56">
        <f t="shared" si="8"/>
        <v>0.5655</v>
      </c>
      <c r="BF20" s="56">
        <f t="shared" si="9"/>
        <v>1.9504799999999998</v>
      </c>
      <c r="BG20" s="55"/>
      <c r="BH20" s="56">
        <f t="shared" si="10"/>
        <v>2.5669999999999997</v>
      </c>
      <c r="BI20" s="56">
        <f t="shared" si="11"/>
        <v>1.8144</v>
      </c>
      <c r="BJ20" s="56">
        <f t="shared" si="12"/>
        <v>3.0744000000000002</v>
      </c>
      <c r="BK20" s="56">
        <f t="shared" si="13"/>
        <v>0.5762</v>
      </c>
      <c r="BL20" s="56">
        <f t="shared" si="14"/>
        <v>0.5698</v>
      </c>
      <c r="BM20" s="56">
        <f t="shared" si="15"/>
        <v>1.443</v>
      </c>
      <c r="BN20" s="56">
        <f t="shared" si="16"/>
        <v>0.52</v>
      </c>
      <c r="BO20" s="56">
        <f t="shared" si="17"/>
        <v>1.83708</v>
      </c>
    </row>
    <row r="21" spans="1:67" ht="12.75">
      <c r="A21" s="61" t="s">
        <v>5</v>
      </c>
      <c r="B21" s="128">
        <v>43.8</v>
      </c>
      <c r="C21" s="90">
        <f t="shared" si="0"/>
        <v>170</v>
      </c>
      <c r="D21" s="50">
        <v>0.085</v>
      </c>
      <c r="E21" s="51">
        <f>2.83/$R21*$B21</f>
        <v>2.83</v>
      </c>
      <c r="F21" s="51">
        <f>1.99/$R21*$B21</f>
        <v>1.99</v>
      </c>
      <c r="G21" s="51">
        <f>3.42/$R21*$B21</f>
        <v>3.42</v>
      </c>
      <c r="H21" s="51">
        <f>0.61/$R21*$B21</f>
        <v>0.61</v>
      </c>
      <c r="I21" s="51">
        <f>0.7/$R21*$B21</f>
        <v>0.7</v>
      </c>
      <c r="J21" s="51">
        <f>1.73/$R21*$B21</f>
        <v>1.73</v>
      </c>
      <c r="K21" s="51">
        <f>0.61/$R21*$B21</f>
        <v>0.61</v>
      </c>
      <c r="L21" s="51">
        <f>2.06/$R21*$B21</f>
        <v>2.06</v>
      </c>
      <c r="M21" s="52">
        <v>3180</v>
      </c>
      <c r="N21" s="52">
        <v>1920</v>
      </c>
      <c r="O21" s="52">
        <v>2070</v>
      </c>
      <c r="P21" s="52">
        <v>3490</v>
      </c>
      <c r="Q21" s="52">
        <v>1935</v>
      </c>
      <c r="R21" s="51">
        <v>43.8</v>
      </c>
      <c r="S21" s="51">
        <v>0.32</v>
      </c>
      <c r="T21" s="51">
        <v>0.65</v>
      </c>
      <c r="U21" s="53">
        <v>0.31</v>
      </c>
      <c r="V21" s="54">
        <f t="shared" si="1"/>
        <v>0.2015</v>
      </c>
      <c r="W21" s="55">
        <v>1.5</v>
      </c>
      <c r="X21" s="55">
        <v>0.69</v>
      </c>
      <c r="Y21" s="55">
        <v>6</v>
      </c>
      <c r="Z21" s="125">
        <v>0</v>
      </c>
      <c r="AA21" s="87">
        <v>0.01</v>
      </c>
      <c r="AB21" s="87">
        <v>0.05</v>
      </c>
      <c r="AC21" s="87">
        <v>1.96</v>
      </c>
      <c r="AD21" s="126">
        <v>0</v>
      </c>
      <c r="AE21" s="109">
        <f>130*W21/10</f>
        <v>19.5</v>
      </c>
      <c r="AF21" s="55"/>
      <c r="AG21" s="53">
        <v>0.89</v>
      </c>
      <c r="AH21" s="53">
        <v>0.88</v>
      </c>
      <c r="AI21" s="53">
        <v>0.88</v>
      </c>
      <c r="AJ21" s="53">
        <v>0.91</v>
      </c>
      <c r="AK21" s="53">
        <v>0.84</v>
      </c>
      <c r="AL21" s="53">
        <v>0.85</v>
      </c>
      <c r="AM21" s="53">
        <v>0.87</v>
      </c>
      <c r="AN21" s="53">
        <v>0.86</v>
      </c>
      <c r="AO21" s="55"/>
      <c r="AP21" s="53">
        <v>0.85</v>
      </c>
      <c r="AQ21" s="53">
        <v>0.84</v>
      </c>
      <c r="AR21" s="53">
        <v>0.84</v>
      </c>
      <c r="AS21" s="53">
        <v>0.86</v>
      </c>
      <c r="AT21" s="53">
        <v>0.77</v>
      </c>
      <c r="AU21" s="53">
        <v>0.78</v>
      </c>
      <c r="AV21" s="53">
        <v>0.8</v>
      </c>
      <c r="AW21" s="53">
        <v>0.81</v>
      </c>
      <c r="AX21" s="53"/>
      <c r="AY21" s="56">
        <f t="shared" si="2"/>
        <v>2.5187</v>
      </c>
      <c r="AZ21" s="56">
        <f t="shared" si="3"/>
        <v>1.7512</v>
      </c>
      <c r="BA21" s="56">
        <f t="shared" si="4"/>
        <v>3.0096</v>
      </c>
      <c r="BB21" s="56">
        <f t="shared" si="5"/>
        <v>0.5551</v>
      </c>
      <c r="BC21" s="56">
        <f t="shared" si="6"/>
        <v>0.588</v>
      </c>
      <c r="BD21" s="56">
        <f t="shared" si="7"/>
        <v>1.4705</v>
      </c>
      <c r="BE21" s="56">
        <f t="shared" si="8"/>
        <v>0.5307</v>
      </c>
      <c r="BF21" s="56">
        <f t="shared" si="9"/>
        <v>1.7716</v>
      </c>
      <c r="BG21" s="55"/>
      <c r="BH21" s="56">
        <f t="shared" si="10"/>
        <v>2.4055</v>
      </c>
      <c r="BI21" s="56">
        <f t="shared" si="11"/>
        <v>1.6716</v>
      </c>
      <c r="BJ21" s="56">
        <f t="shared" si="12"/>
        <v>2.8728</v>
      </c>
      <c r="BK21" s="56">
        <f t="shared" si="13"/>
        <v>0.5246</v>
      </c>
      <c r="BL21" s="56">
        <f t="shared" si="14"/>
        <v>0.5389999999999999</v>
      </c>
      <c r="BM21" s="56">
        <f t="shared" si="15"/>
        <v>1.3494</v>
      </c>
      <c r="BN21" s="56">
        <f t="shared" si="16"/>
        <v>0.488</v>
      </c>
      <c r="BO21" s="56">
        <f t="shared" si="17"/>
        <v>1.6686</v>
      </c>
    </row>
    <row r="22" spans="1:67" ht="12.75">
      <c r="A22" s="71" t="s">
        <v>154</v>
      </c>
      <c r="B22" s="49"/>
      <c r="C22" s="90">
        <f t="shared" si="0"/>
        <v>160</v>
      </c>
      <c r="D22" s="50">
        <v>0.08</v>
      </c>
      <c r="E22" s="51">
        <v>0.74</v>
      </c>
      <c r="F22" s="51">
        <v>0.68</v>
      </c>
      <c r="G22" s="51">
        <v>1.21</v>
      </c>
      <c r="H22" s="51">
        <v>0.025</v>
      </c>
      <c r="I22" s="51">
        <v>0.18</v>
      </c>
      <c r="J22" s="51">
        <v>0.7</v>
      </c>
      <c r="K22" s="51">
        <v>0.24</v>
      </c>
      <c r="L22" s="51">
        <v>0.86</v>
      </c>
      <c r="M22" s="74">
        <v>1650</v>
      </c>
      <c r="N22" s="52">
        <v>860</v>
      </c>
      <c r="O22" s="52">
        <v>1027</v>
      </c>
      <c r="P22" s="74">
        <v>1830</v>
      </c>
      <c r="Q22" s="74">
        <v>910</v>
      </c>
      <c r="R22" s="51">
        <v>17</v>
      </c>
      <c r="S22" s="51">
        <v>1.53</v>
      </c>
      <c r="T22" s="51">
        <v>0.26</v>
      </c>
      <c r="U22" s="53">
        <v>1</v>
      </c>
      <c r="V22" s="54">
        <f t="shared" si="1"/>
        <v>0.26</v>
      </c>
      <c r="W22" s="55">
        <v>2.6</v>
      </c>
      <c r="X22" s="55">
        <v>0.35</v>
      </c>
      <c r="Y22" s="55">
        <v>25.7</v>
      </c>
      <c r="Z22" s="125">
        <v>0</v>
      </c>
      <c r="AA22" s="87">
        <v>0.09</v>
      </c>
      <c r="AB22" s="87">
        <v>0.47</v>
      </c>
      <c r="AC22" s="87">
        <v>2.3</v>
      </c>
      <c r="AD22" s="126">
        <v>0</v>
      </c>
      <c r="AE22" s="109">
        <f>125*W22/10</f>
        <v>32.5</v>
      </c>
      <c r="AF22" s="55"/>
      <c r="AG22" s="53">
        <v>0.56</v>
      </c>
      <c r="AH22" s="53">
        <v>0.68</v>
      </c>
      <c r="AI22" s="53">
        <v>0.71</v>
      </c>
      <c r="AJ22" s="53">
        <v>0.71</v>
      </c>
      <c r="AK22" s="53">
        <v>0.37</v>
      </c>
      <c r="AL22" s="53">
        <v>0.63</v>
      </c>
      <c r="AM22" s="53">
        <v>0.46</v>
      </c>
      <c r="AN22" s="53">
        <v>0.64</v>
      </c>
      <c r="AO22" s="55"/>
      <c r="AP22" s="53">
        <v>0.5</v>
      </c>
      <c r="AQ22" s="53">
        <v>0.59</v>
      </c>
      <c r="AR22" s="53">
        <v>0.63</v>
      </c>
      <c r="AS22" s="53">
        <v>0.64</v>
      </c>
      <c r="AT22" s="53">
        <v>0.2</v>
      </c>
      <c r="AU22" s="53">
        <v>0.51</v>
      </c>
      <c r="AV22" s="53">
        <v>0.39</v>
      </c>
      <c r="AW22" s="53">
        <v>0.55</v>
      </c>
      <c r="AX22" s="53"/>
      <c r="AY22" s="56">
        <f t="shared" si="2"/>
        <v>0.41440000000000005</v>
      </c>
      <c r="AZ22" s="56">
        <f t="shared" si="3"/>
        <v>0.4624000000000001</v>
      </c>
      <c r="BA22" s="56">
        <f t="shared" si="4"/>
        <v>0.8591</v>
      </c>
      <c r="BB22" s="56">
        <f t="shared" si="5"/>
        <v>0.01775</v>
      </c>
      <c r="BC22" s="56">
        <f t="shared" si="6"/>
        <v>0.06659999999999999</v>
      </c>
      <c r="BD22" s="56">
        <f t="shared" si="7"/>
        <v>0.44099999999999995</v>
      </c>
      <c r="BE22" s="56">
        <f t="shared" si="8"/>
        <v>0.1104</v>
      </c>
      <c r="BF22" s="56">
        <f t="shared" si="9"/>
        <v>0.5504</v>
      </c>
      <c r="BG22" s="55"/>
      <c r="BH22" s="56">
        <f t="shared" si="10"/>
        <v>0.37</v>
      </c>
      <c r="BI22" s="56">
        <f t="shared" si="11"/>
        <v>0.4012</v>
      </c>
      <c r="BJ22" s="56">
        <f t="shared" si="12"/>
        <v>0.7623</v>
      </c>
      <c r="BK22" s="56">
        <f t="shared" si="13"/>
        <v>0.016</v>
      </c>
      <c r="BL22" s="56">
        <f t="shared" si="14"/>
        <v>0.036</v>
      </c>
      <c r="BM22" s="56">
        <f t="shared" si="15"/>
        <v>0.357</v>
      </c>
      <c r="BN22" s="56">
        <f t="shared" si="16"/>
        <v>0.0936</v>
      </c>
      <c r="BO22" s="56">
        <f t="shared" si="17"/>
        <v>0.47300000000000003</v>
      </c>
    </row>
    <row r="23" spans="1:67" ht="12.75">
      <c r="A23" s="71" t="s">
        <v>159</v>
      </c>
      <c r="B23" s="49"/>
      <c r="C23" s="90">
        <f t="shared" si="0"/>
        <v>160</v>
      </c>
      <c r="D23" s="50">
        <v>0.08</v>
      </c>
      <c r="E23" s="51">
        <v>2.08</v>
      </c>
      <c r="F23" s="51">
        <v>1.43</v>
      </c>
      <c r="G23" s="51">
        <v>2.58</v>
      </c>
      <c r="H23" s="51">
        <v>0.74</v>
      </c>
      <c r="I23" s="51">
        <v>0.91</v>
      </c>
      <c r="J23" s="51">
        <v>1.59</v>
      </c>
      <c r="K23" s="51">
        <v>0.45</v>
      </c>
      <c r="L23" s="51">
        <v>1.82</v>
      </c>
      <c r="M23" s="74">
        <v>2640</v>
      </c>
      <c r="N23" s="52">
        <v>1505</v>
      </c>
      <c r="O23" s="52">
        <v>1625</v>
      </c>
      <c r="P23" s="74">
        <v>2885</v>
      </c>
      <c r="Q23" s="74">
        <v>1610</v>
      </c>
      <c r="R23" s="51">
        <v>35.6</v>
      </c>
      <c r="S23" s="51">
        <v>0.63</v>
      </c>
      <c r="T23" s="51">
        <v>1.01</v>
      </c>
      <c r="U23" s="53">
        <v>0.21</v>
      </c>
      <c r="V23" s="54">
        <f t="shared" si="1"/>
        <v>0.21209999999999998</v>
      </c>
      <c r="W23" s="55">
        <v>3.5</v>
      </c>
      <c r="X23" s="55">
        <v>0.42</v>
      </c>
      <c r="Y23" s="55">
        <v>12.4</v>
      </c>
      <c r="Z23" s="125">
        <v>0</v>
      </c>
      <c r="AA23" s="87">
        <v>0.07</v>
      </c>
      <c r="AB23" s="87">
        <v>0.11</v>
      </c>
      <c r="AC23" s="87">
        <v>1.22</v>
      </c>
      <c r="AD23" s="126">
        <v>0</v>
      </c>
      <c r="AE23" s="109">
        <f>125*W23/10</f>
        <v>43.75</v>
      </c>
      <c r="AF23" s="55"/>
      <c r="AG23" s="53">
        <v>0.78</v>
      </c>
      <c r="AH23" s="53">
        <v>0.78</v>
      </c>
      <c r="AI23" s="53">
        <v>0.81</v>
      </c>
      <c r="AJ23" s="53">
        <v>0.86</v>
      </c>
      <c r="AK23" s="53">
        <v>0.83</v>
      </c>
      <c r="AL23" s="53">
        <v>0.76</v>
      </c>
      <c r="AM23" s="53">
        <v>0.75</v>
      </c>
      <c r="AN23" s="53">
        <v>0.77</v>
      </c>
      <c r="AO23" s="55"/>
      <c r="AP23" s="53">
        <v>0.74</v>
      </c>
      <c r="AQ23" s="53">
        <v>0.74</v>
      </c>
      <c r="AR23" s="53">
        <v>0.78</v>
      </c>
      <c r="AS23" s="53">
        <v>0.82</v>
      </c>
      <c r="AT23" s="53">
        <v>0.79</v>
      </c>
      <c r="AU23" s="53">
        <v>0.69</v>
      </c>
      <c r="AV23" s="53">
        <v>0.73</v>
      </c>
      <c r="AW23" s="53">
        <v>0.71</v>
      </c>
      <c r="AX23" s="53"/>
      <c r="AY23" s="56">
        <f t="shared" si="2"/>
        <v>1.6224</v>
      </c>
      <c r="AZ23" s="56">
        <f t="shared" si="3"/>
        <v>1.1154</v>
      </c>
      <c r="BA23" s="56">
        <f t="shared" si="4"/>
        <v>2.0898000000000003</v>
      </c>
      <c r="BB23" s="56">
        <f t="shared" si="5"/>
        <v>0.6364</v>
      </c>
      <c r="BC23" s="56">
        <f t="shared" si="6"/>
        <v>0.7553</v>
      </c>
      <c r="BD23" s="56">
        <f t="shared" si="7"/>
        <v>1.2084000000000001</v>
      </c>
      <c r="BE23" s="56">
        <f t="shared" si="8"/>
        <v>0.3375</v>
      </c>
      <c r="BF23" s="56">
        <f t="shared" si="9"/>
        <v>1.4014</v>
      </c>
      <c r="BG23" s="55"/>
      <c r="BH23" s="56">
        <f t="shared" si="10"/>
        <v>1.5392000000000001</v>
      </c>
      <c r="BI23" s="56">
        <f t="shared" si="11"/>
        <v>1.0582</v>
      </c>
      <c r="BJ23" s="56">
        <f t="shared" si="12"/>
        <v>2.0124</v>
      </c>
      <c r="BK23" s="56">
        <f t="shared" si="13"/>
        <v>0.6068</v>
      </c>
      <c r="BL23" s="56">
        <f t="shared" si="14"/>
        <v>0.7189000000000001</v>
      </c>
      <c r="BM23" s="56">
        <f t="shared" si="15"/>
        <v>1.0971</v>
      </c>
      <c r="BN23" s="56">
        <f t="shared" si="16"/>
        <v>0.3285</v>
      </c>
      <c r="BO23" s="56">
        <f t="shared" si="17"/>
        <v>1.2922</v>
      </c>
    </row>
    <row r="24" spans="1:67" ht="12.75">
      <c r="A24" s="71" t="s">
        <v>162</v>
      </c>
      <c r="B24" s="49"/>
      <c r="C24" s="90">
        <f t="shared" si="0"/>
        <v>160</v>
      </c>
      <c r="D24" s="50">
        <v>0.08</v>
      </c>
      <c r="E24" s="51">
        <v>1.5</v>
      </c>
      <c r="F24" s="51">
        <v>0.86</v>
      </c>
      <c r="G24" s="51">
        <v>1.51</v>
      </c>
      <c r="H24" s="51">
        <v>0.21</v>
      </c>
      <c r="I24" s="51">
        <v>0.31</v>
      </c>
      <c r="J24" s="51">
        <v>0.78</v>
      </c>
      <c r="K24" s="51">
        <v>0.19</v>
      </c>
      <c r="L24" s="51">
        <v>0.98</v>
      </c>
      <c r="M24" s="74">
        <v>3210</v>
      </c>
      <c r="N24" s="52">
        <v>2317</v>
      </c>
      <c r="O24" s="52">
        <v>2389</v>
      </c>
      <c r="P24" s="74">
        <v>3435</v>
      </c>
      <c r="Q24" s="74">
        <v>2195</v>
      </c>
      <c r="R24" s="51">
        <v>22.8</v>
      </c>
      <c r="S24" s="51">
        <v>0.11</v>
      </c>
      <c r="T24" s="51">
        <v>0.39</v>
      </c>
      <c r="U24" s="72">
        <v>0.21</v>
      </c>
      <c r="V24" s="54">
        <f t="shared" si="1"/>
        <v>0.0819</v>
      </c>
      <c r="W24" s="55">
        <v>1.2</v>
      </c>
      <c r="X24" s="55">
        <v>0.47</v>
      </c>
      <c r="Y24" s="55">
        <v>5.2</v>
      </c>
      <c r="Z24" s="125">
        <v>0</v>
      </c>
      <c r="AA24" s="87">
        <v>0.04</v>
      </c>
      <c r="AB24" s="87">
        <v>0.05</v>
      </c>
      <c r="AC24" s="87">
        <v>1.02</v>
      </c>
      <c r="AD24" s="126">
        <v>0</v>
      </c>
      <c r="AE24" s="109">
        <f>125*W24/10</f>
        <v>15</v>
      </c>
      <c r="AF24" s="55"/>
      <c r="AG24" s="53">
        <v>0.88</v>
      </c>
      <c r="AH24" s="53">
        <v>0.85</v>
      </c>
      <c r="AI24" s="53">
        <v>0.86</v>
      </c>
      <c r="AJ24" s="53">
        <v>0.84</v>
      </c>
      <c r="AK24" s="53">
        <v>0.79</v>
      </c>
      <c r="AL24" s="53">
        <v>0.8</v>
      </c>
      <c r="AM24" s="53">
        <v>0.82</v>
      </c>
      <c r="AN24" s="53">
        <v>0.81</v>
      </c>
      <c r="AO24" s="55"/>
      <c r="AP24" s="53">
        <v>0.84</v>
      </c>
      <c r="AQ24" s="53">
        <v>0.79</v>
      </c>
      <c r="AR24" s="53">
        <v>0.8</v>
      </c>
      <c r="AS24" s="53">
        <v>0.78</v>
      </c>
      <c r="AT24" s="53">
        <v>0.68</v>
      </c>
      <c r="AU24" s="53">
        <v>0.73</v>
      </c>
      <c r="AV24" s="53">
        <v>0.7</v>
      </c>
      <c r="AW24" s="53">
        <v>0.76</v>
      </c>
      <c r="AX24" s="53"/>
      <c r="AY24" s="56">
        <f t="shared" si="2"/>
        <v>1.32</v>
      </c>
      <c r="AZ24" s="56">
        <f t="shared" si="3"/>
        <v>0.731</v>
      </c>
      <c r="BA24" s="56">
        <f t="shared" si="4"/>
        <v>1.2986</v>
      </c>
      <c r="BB24" s="56">
        <f t="shared" si="5"/>
        <v>0.17639999999999997</v>
      </c>
      <c r="BC24" s="56">
        <f t="shared" si="6"/>
        <v>0.2449</v>
      </c>
      <c r="BD24" s="56">
        <f t="shared" si="7"/>
        <v>0.6240000000000001</v>
      </c>
      <c r="BE24" s="56">
        <f t="shared" si="8"/>
        <v>0.1558</v>
      </c>
      <c r="BF24" s="56">
        <f t="shared" si="9"/>
        <v>0.7938000000000001</v>
      </c>
      <c r="BG24" s="55"/>
      <c r="BH24" s="56">
        <f t="shared" si="10"/>
        <v>1.26</v>
      </c>
      <c r="BI24" s="56">
        <f t="shared" si="11"/>
        <v>0.6794</v>
      </c>
      <c r="BJ24" s="56">
        <f t="shared" si="12"/>
        <v>1.2080000000000002</v>
      </c>
      <c r="BK24" s="56">
        <f t="shared" si="13"/>
        <v>0.1638</v>
      </c>
      <c r="BL24" s="56">
        <f t="shared" si="14"/>
        <v>0.21080000000000002</v>
      </c>
      <c r="BM24" s="56">
        <f t="shared" si="15"/>
        <v>0.5694</v>
      </c>
      <c r="BN24" s="56">
        <f t="shared" si="16"/>
        <v>0.13299999999999998</v>
      </c>
      <c r="BO24" s="56">
        <f t="shared" si="17"/>
        <v>0.7448</v>
      </c>
    </row>
    <row r="25" spans="1:67" ht="12.75">
      <c r="A25" s="61" t="s">
        <v>164</v>
      </c>
      <c r="B25" s="57"/>
      <c r="C25" s="90">
        <f t="shared" si="0"/>
        <v>170</v>
      </c>
      <c r="D25" s="50">
        <v>0.085</v>
      </c>
      <c r="E25" s="51">
        <v>2.22</v>
      </c>
      <c r="F25" s="51">
        <v>1.61</v>
      </c>
      <c r="G25" s="51">
        <v>2.75</v>
      </c>
      <c r="H25" s="51">
        <v>0.53</v>
      </c>
      <c r="I25" s="51">
        <v>0.55</v>
      </c>
      <c r="J25" s="51">
        <v>1.41</v>
      </c>
      <c r="K25" s="51">
        <v>0.48</v>
      </c>
      <c r="L25" s="51">
        <v>1.68</v>
      </c>
      <c r="M25" s="52">
        <v>3690</v>
      </c>
      <c r="N25" s="52">
        <v>2556</v>
      </c>
      <c r="O25" s="52">
        <v>2748</v>
      </c>
      <c r="P25" s="52">
        <v>4140</v>
      </c>
      <c r="Q25" s="52">
        <v>2880</v>
      </c>
      <c r="R25" s="51">
        <v>35.2</v>
      </c>
      <c r="S25" s="51">
        <v>0.25</v>
      </c>
      <c r="T25" s="51">
        <v>0.59</v>
      </c>
      <c r="U25" s="53">
        <v>0.31</v>
      </c>
      <c r="V25" s="54">
        <f t="shared" si="1"/>
        <v>0.18289999999999998</v>
      </c>
      <c r="W25" s="55">
        <v>18</v>
      </c>
      <c r="X25" s="55">
        <v>9.13</v>
      </c>
      <c r="Y25" s="55">
        <v>5.2</v>
      </c>
      <c r="Z25" s="125">
        <v>0</v>
      </c>
      <c r="AA25" s="87">
        <v>0.03</v>
      </c>
      <c r="AB25" s="87">
        <v>0.03</v>
      </c>
      <c r="AC25" s="87">
        <v>1.7</v>
      </c>
      <c r="AD25" s="126">
        <v>0</v>
      </c>
      <c r="AE25" s="109">
        <f>130*W25/10</f>
        <v>234</v>
      </c>
      <c r="AF25" s="55"/>
      <c r="AG25" s="53">
        <v>0.86</v>
      </c>
      <c r="AH25" s="53">
        <v>0.84</v>
      </c>
      <c r="AI25" s="53">
        <v>0.86</v>
      </c>
      <c r="AJ25" s="53">
        <v>0.85</v>
      </c>
      <c r="AK25" s="53">
        <v>0.8</v>
      </c>
      <c r="AL25" s="53">
        <v>0.83</v>
      </c>
      <c r="AM25" s="53">
        <v>0.82</v>
      </c>
      <c r="AN25" s="53">
        <v>0.83</v>
      </c>
      <c r="AO25" s="55"/>
      <c r="AP25" s="53">
        <v>0.81</v>
      </c>
      <c r="AQ25" s="53">
        <v>0.78</v>
      </c>
      <c r="AR25" s="53">
        <v>0.8</v>
      </c>
      <c r="AS25" s="53">
        <v>0.78</v>
      </c>
      <c r="AT25" s="53">
        <v>0.76</v>
      </c>
      <c r="AU25" s="53">
        <v>0.77</v>
      </c>
      <c r="AV25" s="53">
        <v>0.75</v>
      </c>
      <c r="AW25" s="53">
        <v>0.76</v>
      </c>
      <c r="AX25" s="53"/>
      <c r="AY25" s="56">
        <f t="shared" si="2"/>
        <v>1.9092000000000002</v>
      </c>
      <c r="AZ25" s="56">
        <f t="shared" si="3"/>
        <v>1.3524</v>
      </c>
      <c r="BA25" s="56">
        <f t="shared" si="4"/>
        <v>2.3649999999999998</v>
      </c>
      <c r="BB25" s="56">
        <f t="shared" si="5"/>
        <v>0.4505</v>
      </c>
      <c r="BC25" s="56">
        <f t="shared" si="6"/>
        <v>0.44000000000000006</v>
      </c>
      <c r="BD25" s="56">
        <f t="shared" si="7"/>
        <v>1.1703</v>
      </c>
      <c r="BE25" s="56">
        <f t="shared" si="8"/>
        <v>0.39359999999999995</v>
      </c>
      <c r="BF25" s="56">
        <f t="shared" si="9"/>
        <v>1.3943999999999999</v>
      </c>
      <c r="BG25" s="55"/>
      <c r="BH25" s="56">
        <f t="shared" si="10"/>
        <v>1.7982000000000002</v>
      </c>
      <c r="BI25" s="56">
        <f t="shared" si="11"/>
        <v>1.2558</v>
      </c>
      <c r="BJ25" s="56">
        <f t="shared" si="12"/>
        <v>2.2</v>
      </c>
      <c r="BK25" s="56">
        <f t="shared" si="13"/>
        <v>0.41340000000000005</v>
      </c>
      <c r="BL25" s="56">
        <f t="shared" si="14"/>
        <v>0.41800000000000004</v>
      </c>
      <c r="BM25" s="56">
        <f t="shared" si="15"/>
        <v>1.0856999999999999</v>
      </c>
      <c r="BN25" s="56">
        <f t="shared" si="16"/>
        <v>0.36</v>
      </c>
      <c r="BO25" s="56">
        <f t="shared" si="17"/>
        <v>1.2768</v>
      </c>
    </row>
    <row r="26" spans="1:67" ht="12.75" customHeight="1">
      <c r="A26" s="48" t="s">
        <v>85</v>
      </c>
      <c r="B26" s="57">
        <v>51.5</v>
      </c>
      <c r="C26" s="90">
        <f t="shared" si="0"/>
        <v>320</v>
      </c>
      <c r="D26" s="50">
        <f>Calculator!E6/2000</f>
        <v>0.16</v>
      </c>
      <c r="E26" s="51">
        <f>2.51/$R26*$B26</f>
        <v>2.51</v>
      </c>
      <c r="F26" s="51">
        <f>1.34/$R26*$B26</f>
        <v>1.34</v>
      </c>
      <c r="G26" s="51">
        <f>2.98/$R26*$B26</f>
        <v>2.98</v>
      </c>
      <c r="H26" s="51">
        <f>0.68/$R26*$B26</f>
        <v>0.68</v>
      </c>
      <c r="I26" s="51">
        <f>0.5/$R26*$B26</f>
        <v>0.49999999999999994</v>
      </c>
      <c r="J26" s="51">
        <f>1.59/$R26*$B26</f>
        <v>1.59</v>
      </c>
      <c r="K26" s="51">
        <f>0.28/$R26*$B26</f>
        <v>0.28</v>
      </c>
      <c r="L26" s="51">
        <f>2.04/$R26*$B26</f>
        <v>2.04</v>
      </c>
      <c r="M26" s="59">
        <v>2225</v>
      </c>
      <c r="N26" s="120">
        <v>1724.0497076023391</v>
      </c>
      <c r="O26" s="120">
        <v>1672</v>
      </c>
      <c r="P26" s="60">
        <v>2440</v>
      </c>
      <c r="Q26" s="60">
        <v>1355</v>
      </c>
      <c r="R26" s="51">
        <v>51.5</v>
      </c>
      <c r="S26" s="51">
        <v>9.99</v>
      </c>
      <c r="T26" s="51">
        <v>4.98</v>
      </c>
      <c r="U26" s="53">
        <v>0.9</v>
      </c>
      <c r="V26" s="54">
        <f t="shared" si="1"/>
        <v>4.482</v>
      </c>
      <c r="W26" s="55">
        <v>10.9</v>
      </c>
      <c r="X26" s="55">
        <v>0.72</v>
      </c>
      <c r="Y26" s="55"/>
      <c r="Z26" s="125">
        <v>0</v>
      </c>
      <c r="AA26" s="87">
        <v>0.63</v>
      </c>
      <c r="AB26" s="87">
        <v>0.69</v>
      </c>
      <c r="AC26" s="87">
        <v>0.65</v>
      </c>
      <c r="AD26" s="126">
        <v>0</v>
      </c>
      <c r="AE26" s="109">
        <f>64*W26/10</f>
        <v>69.76</v>
      </c>
      <c r="AF26" s="55"/>
      <c r="AG26" s="63">
        <v>0.8</v>
      </c>
      <c r="AH26" s="63">
        <v>0.82</v>
      </c>
      <c r="AI26" s="63">
        <v>0.81</v>
      </c>
      <c r="AJ26" s="63">
        <v>0.83</v>
      </c>
      <c r="AK26" s="63">
        <v>0.63</v>
      </c>
      <c r="AL26" s="63">
        <v>0.8</v>
      </c>
      <c r="AM26" s="63">
        <v>0.78</v>
      </c>
      <c r="AN26" s="63">
        <v>0.79</v>
      </c>
      <c r="AO26" s="63"/>
      <c r="AP26" s="63">
        <v>0.74</v>
      </c>
      <c r="AQ26" s="63">
        <v>0.74</v>
      </c>
      <c r="AR26" s="63">
        <v>0.76</v>
      </c>
      <c r="AS26" s="63">
        <v>0.79</v>
      </c>
      <c r="AT26" s="63">
        <v>0.55</v>
      </c>
      <c r="AU26" s="63">
        <v>0.7</v>
      </c>
      <c r="AV26" s="63">
        <v>0.6</v>
      </c>
      <c r="AW26" s="63">
        <v>0.74</v>
      </c>
      <c r="AX26" s="53"/>
      <c r="AY26" s="56">
        <f t="shared" si="2"/>
        <v>2.008</v>
      </c>
      <c r="AZ26" s="56">
        <f t="shared" si="3"/>
        <v>1.0988</v>
      </c>
      <c r="BA26" s="56">
        <f t="shared" si="4"/>
        <v>2.4138</v>
      </c>
      <c r="BB26" s="56">
        <f t="shared" si="5"/>
        <v>0.5644</v>
      </c>
      <c r="BC26" s="56">
        <f t="shared" si="6"/>
        <v>0.31499999999999995</v>
      </c>
      <c r="BD26" s="56">
        <f t="shared" si="7"/>
        <v>1.2720000000000002</v>
      </c>
      <c r="BE26" s="56">
        <f t="shared" si="8"/>
        <v>0.21840000000000004</v>
      </c>
      <c r="BF26" s="56">
        <f t="shared" si="9"/>
        <v>1.6116000000000001</v>
      </c>
      <c r="BG26" s="55"/>
      <c r="BH26" s="56">
        <f t="shared" si="10"/>
        <v>1.8573999999999997</v>
      </c>
      <c r="BI26" s="56">
        <f t="shared" si="11"/>
        <v>0.9916</v>
      </c>
      <c r="BJ26" s="56">
        <f t="shared" si="12"/>
        <v>2.2648</v>
      </c>
      <c r="BK26" s="56">
        <f t="shared" si="13"/>
        <v>0.5372</v>
      </c>
      <c r="BL26" s="56">
        <f t="shared" si="14"/>
        <v>0.27499999999999997</v>
      </c>
      <c r="BM26" s="56">
        <f t="shared" si="15"/>
        <v>1.113</v>
      </c>
      <c r="BN26" s="56">
        <f t="shared" si="16"/>
        <v>0.168</v>
      </c>
      <c r="BO26" s="56">
        <f t="shared" si="17"/>
        <v>1.5096</v>
      </c>
    </row>
    <row r="27" spans="1:67" ht="12.75">
      <c r="A27" s="71" t="s">
        <v>163</v>
      </c>
      <c r="B27" s="49"/>
      <c r="C27" s="90">
        <f t="shared" si="0"/>
        <v>240</v>
      </c>
      <c r="D27" s="50">
        <v>0.12</v>
      </c>
      <c r="E27" s="51">
        <v>3.32</v>
      </c>
      <c r="F27" s="51">
        <v>2.01</v>
      </c>
      <c r="G27" s="51">
        <v>3.89</v>
      </c>
      <c r="H27" s="51">
        <v>1.11</v>
      </c>
      <c r="I27" s="51">
        <v>0.65</v>
      </c>
      <c r="J27" s="51">
        <v>2.18</v>
      </c>
      <c r="K27" s="51">
        <v>0.48</v>
      </c>
      <c r="L27" s="51">
        <v>2.51</v>
      </c>
      <c r="M27" s="74">
        <v>2860</v>
      </c>
      <c r="N27" s="52"/>
      <c r="O27" s="52"/>
      <c r="P27" s="74">
        <v>3090</v>
      </c>
      <c r="Q27" s="74">
        <v>1945</v>
      </c>
      <c r="R27" s="51">
        <v>64.1</v>
      </c>
      <c r="S27" s="51">
        <v>4.46</v>
      </c>
      <c r="T27" s="51">
        <v>2.41</v>
      </c>
      <c r="U27" s="72">
        <v>0.9</v>
      </c>
      <c r="V27" s="54">
        <f t="shared" si="1"/>
        <v>2.169</v>
      </c>
      <c r="W27" s="55">
        <v>12.6</v>
      </c>
      <c r="X27" s="55">
        <v>2.54</v>
      </c>
      <c r="Y27" s="55"/>
      <c r="Z27" s="125">
        <v>0</v>
      </c>
      <c r="AA27" s="87">
        <v>0.44</v>
      </c>
      <c r="AB27" s="87">
        <v>0.25</v>
      </c>
      <c r="AC27" s="87">
        <v>0.15</v>
      </c>
      <c r="AD27" s="126">
        <v>0</v>
      </c>
      <c r="AE27" s="109">
        <f>78*W27/10</f>
        <v>98.28</v>
      </c>
      <c r="AF27" s="55"/>
      <c r="AG27" s="53">
        <v>0.8</v>
      </c>
      <c r="AH27" s="53">
        <v>0.81</v>
      </c>
      <c r="AI27" s="53">
        <v>0.8</v>
      </c>
      <c r="AJ27" s="53">
        <v>0.77</v>
      </c>
      <c r="AK27" s="53">
        <v>0.72</v>
      </c>
      <c r="AL27" s="53">
        <v>0.77</v>
      </c>
      <c r="AM27" s="72">
        <v>0.75</v>
      </c>
      <c r="AN27" s="53">
        <v>0.74</v>
      </c>
      <c r="AO27" s="55"/>
      <c r="AP27" s="53">
        <v>0.78</v>
      </c>
      <c r="AQ27" s="53">
        <v>0.77</v>
      </c>
      <c r="AR27" s="53">
        <v>0.78</v>
      </c>
      <c r="AS27" s="53">
        <v>0.74</v>
      </c>
      <c r="AT27" s="53">
        <v>0.7</v>
      </c>
      <c r="AU27" s="53">
        <v>0.72</v>
      </c>
      <c r="AV27" s="53">
        <v>0.74</v>
      </c>
      <c r="AW27" s="53">
        <v>0.74</v>
      </c>
      <c r="AX27" s="53"/>
      <c r="AY27" s="56">
        <f t="shared" si="2"/>
        <v>2.656</v>
      </c>
      <c r="AZ27" s="56">
        <f t="shared" si="3"/>
        <v>1.6280999999999999</v>
      </c>
      <c r="BA27" s="56">
        <f t="shared" si="4"/>
        <v>3.112</v>
      </c>
      <c r="BB27" s="56">
        <f t="shared" si="5"/>
        <v>0.8547000000000001</v>
      </c>
      <c r="BC27" s="56">
        <f t="shared" si="6"/>
        <v>0.46799999999999997</v>
      </c>
      <c r="BD27" s="56">
        <f t="shared" si="7"/>
        <v>1.6786</v>
      </c>
      <c r="BE27" s="56">
        <f t="shared" si="8"/>
        <v>0.36</v>
      </c>
      <c r="BF27" s="56">
        <f t="shared" si="9"/>
        <v>1.8573999999999997</v>
      </c>
      <c r="BG27" s="55"/>
      <c r="BH27" s="56">
        <f t="shared" si="10"/>
        <v>2.5896</v>
      </c>
      <c r="BI27" s="56">
        <f t="shared" si="11"/>
        <v>1.5476999999999999</v>
      </c>
      <c r="BJ27" s="56">
        <f t="shared" si="12"/>
        <v>3.0342000000000002</v>
      </c>
      <c r="BK27" s="56">
        <f t="shared" si="13"/>
        <v>0.8214</v>
      </c>
      <c r="BL27" s="56">
        <f t="shared" si="14"/>
        <v>0.45499999999999996</v>
      </c>
      <c r="BM27" s="56">
        <f t="shared" si="15"/>
        <v>1.5696</v>
      </c>
      <c r="BN27" s="56">
        <f t="shared" si="16"/>
        <v>0.35519999999999996</v>
      </c>
      <c r="BO27" s="56">
        <f t="shared" si="17"/>
        <v>1.8573999999999997</v>
      </c>
    </row>
    <row r="28" spans="1:67" ht="12.75" customHeight="1">
      <c r="A28" s="68" t="s">
        <v>8</v>
      </c>
      <c r="B28" s="49"/>
      <c r="C28" s="90">
        <f t="shared" si="0"/>
        <v>3200</v>
      </c>
      <c r="D28" s="50">
        <v>1.6</v>
      </c>
      <c r="E28" s="51">
        <v>6.84</v>
      </c>
      <c r="F28" s="51">
        <v>2.71</v>
      </c>
      <c r="G28" s="51">
        <v>7.61</v>
      </c>
      <c r="H28" s="51">
        <v>0.75</v>
      </c>
      <c r="I28" s="51">
        <v>2.63</v>
      </c>
      <c r="J28" s="51">
        <v>4.72</v>
      </c>
      <c r="K28" s="51">
        <v>1.36</v>
      </c>
      <c r="L28" s="51">
        <v>4.94</v>
      </c>
      <c r="M28" s="66">
        <v>3895.5282</v>
      </c>
      <c r="N28" s="66">
        <v>2027.337080405933</v>
      </c>
      <c r="O28" s="66">
        <v>2027.337080405933</v>
      </c>
      <c r="P28" s="66">
        <f>M28/0.96</f>
        <v>4057.8418750000005</v>
      </c>
      <c r="Q28" s="66">
        <v>2027.337080405933</v>
      </c>
      <c r="R28" s="51">
        <v>78</v>
      </c>
      <c r="S28" s="51">
        <v>0.15</v>
      </c>
      <c r="T28" s="51">
        <v>1.71</v>
      </c>
      <c r="U28" s="53">
        <v>0.92</v>
      </c>
      <c r="V28" s="54">
        <f t="shared" si="1"/>
        <v>1.5732</v>
      </c>
      <c r="W28" s="55"/>
      <c r="X28" s="55"/>
      <c r="Y28" s="55"/>
      <c r="Z28" s="125">
        <v>0</v>
      </c>
      <c r="AA28" s="55">
        <v>3.02</v>
      </c>
      <c r="AB28" s="55">
        <v>1.5</v>
      </c>
      <c r="AC28" s="55">
        <v>0.2</v>
      </c>
      <c r="AD28" s="126">
        <v>0</v>
      </c>
      <c r="AE28" s="109">
        <f>44*W28/10</f>
        <v>0</v>
      </c>
      <c r="AF28" s="55"/>
      <c r="AG28" s="72">
        <v>0.94</v>
      </c>
      <c r="AH28" s="72">
        <v>0.88</v>
      </c>
      <c r="AI28" s="72">
        <v>0.92</v>
      </c>
      <c r="AJ28" s="72">
        <v>0.96</v>
      </c>
      <c r="AK28" s="72">
        <v>0.91</v>
      </c>
      <c r="AL28" s="72">
        <v>0.94</v>
      </c>
      <c r="AM28" s="72">
        <v>0.94</v>
      </c>
      <c r="AN28" s="72">
        <v>0.91</v>
      </c>
      <c r="AO28" s="67"/>
      <c r="AP28" s="53">
        <v>0.87</v>
      </c>
      <c r="AQ28" s="53">
        <v>0.83</v>
      </c>
      <c r="AR28" s="53">
        <v>0.87</v>
      </c>
      <c r="AS28" s="53">
        <v>0.81</v>
      </c>
      <c r="AT28" s="53">
        <v>0.85</v>
      </c>
      <c r="AU28" s="53">
        <v>0.79</v>
      </c>
      <c r="AV28" s="53">
        <v>0.79</v>
      </c>
      <c r="AW28" s="53">
        <v>0.77</v>
      </c>
      <c r="AX28" s="53"/>
      <c r="AY28" s="56">
        <f t="shared" si="2"/>
        <v>6.4296</v>
      </c>
      <c r="AZ28" s="56">
        <f t="shared" si="3"/>
        <v>2.3848</v>
      </c>
      <c r="BA28" s="56">
        <f t="shared" si="4"/>
        <v>7.001200000000001</v>
      </c>
      <c r="BB28" s="56">
        <f t="shared" si="5"/>
        <v>0.72</v>
      </c>
      <c r="BC28" s="56">
        <f t="shared" si="6"/>
        <v>2.3933</v>
      </c>
      <c r="BD28" s="56">
        <f t="shared" si="7"/>
        <v>4.4368</v>
      </c>
      <c r="BE28" s="56">
        <f t="shared" si="8"/>
        <v>1.2784</v>
      </c>
      <c r="BF28" s="56">
        <f t="shared" si="9"/>
        <v>4.495400000000001</v>
      </c>
      <c r="BG28" s="55"/>
      <c r="BH28" s="56">
        <f t="shared" si="10"/>
        <v>5.9508</v>
      </c>
      <c r="BI28" s="56">
        <f t="shared" si="11"/>
        <v>2.2493</v>
      </c>
      <c r="BJ28" s="56">
        <f t="shared" si="12"/>
        <v>6.6207</v>
      </c>
      <c r="BK28" s="56">
        <f t="shared" si="13"/>
        <v>0.6075</v>
      </c>
      <c r="BL28" s="56">
        <f t="shared" si="14"/>
        <v>2.2355</v>
      </c>
      <c r="BM28" s="56">
        <f t="shared" si="15"/>
        <v>3.7288</v>
      </c>
      <c r="BN28" s="56">
        <f t="shared" si="16"/>
        <v>1.0744</v>
      </c>
      <c r="BO28" s="56">
        <f t="shared" si="17"/>
        <v>3.8038000000000003</v>
      </c>
    </row>
    <row r="29" spans="1:67" ht="12.75" customHeight="1">
      <c r="A29" s="48" t="s">
        <v>7</v>
      </c>
      <c r="B29" s="49"/>
      <c r="C29" s="90">
        <f t="shared" si="0"/>
        <v>960</v>
      </c>
      <c r="D29" s="50">
        <v>0.48</v>
      </c>
      <c r="E29" s="51">
        <v>4.81</v>
      </c>
      <c r="F29" s="51">
        <v>2.57</v>
      </c>
      <c r="G29" s="51">
        <v>4.54</v>
      </c>
      <c r="H29" s="51">
        <v>1.77</v>
      </c>
      <c r="I29" s="51">
        <v>0.57</v>
      </c>
      <c r="J29" s="51">
        <v>2.64</v>
      </c>
      <c r="K29" s="51">
        <v>0.66</v>
      </c>
      <c r="L29" s="51">
        <v>3.03</v>
      </c>
      <c r="M29" s="52">
        <v>3360</v>
      </c>
      <c r="N29" s="52">
        <v>2190</v>
      </c>
      <c r="O29" s="52">
        <v>2180</v>
      </c>
      <c r="P29" s="52">
        <v>3770</v>
      </c>
      <c r="Q29" s="52">
        <v>2335</v>
      </c>
      <c r="R29" s="51">
        <v>62.9</v>
      </c>
      <c r="S29" s="51">
        <v>5.21</v>
      </c>
      <c r="T29" s="51">
        <v>3.04</v>
      </c>
      <c r="U29" s="53">
        <v>0.94</v>
      </c>
      <c r="V29" s="54">
        <f t="shared" si="1"/>
        <v>2.8575999999999997</v>
      </c>
      <c r="W29" s="55">
        <v>9.4</v>
      </c>
      <c r="X29" s="55">
        <v>0.12</v>
      </c>
      <c r="Y29" s="55"/>
      <c r="Z29" s="125">
        <v>0</v>
      </c>
      <c r="AA29" s="55">
        <v>0.4</v>
      </c>
      <c r="AB29" s="55">
        <v>0.55</v>
      </c>
      <c r="AC29" s="55">
        <v>0.7</v>
      </c>
      <c r="AD29" s="126">
        <v>0</v>
      </c>
      <c r="AE29" s="109">
        <f>75*W29/10</f>
        <v>70.5</v>
      </c>
      <c r="AF29" s="55"/>
      <c r="AG29" s="53">
        <v>0.95</v>
      </c>
      <c r="AH29" s="53">
        <v>0.94</v>
      </c>
      <c r="AI29" s="53">
        <v>0.94</v>
      </c>
      <c r="AJ29" s="53">
        <v>0.94</v>
      </c>
      <c r="AK29" s="53">
        <v>0.88</v>
      </c>
      <c r="AL29" s="53">
        <v>0.88</v>
      </c>
      <c r="AM29" s="53">
        <v>0.9</v>
      </c>
      <c r="AN29" s="53">
        <v>0.93</v>
      </c>
      <c r="AO29" s="53"/>
      <c r="AP29" s="53">
        <v>0.89</v>
      </c>
      <c r="AQ29" s="53">
        <v>0.87</v>
      </c>
      <c r="AR29" s="53">
        <v>0.88</v>
      </c>
      <c r="AS29" s="53">
        <v>0.88</v>
      </c>
      <c r="AT29" s="53">
        <v>0.73</v>
      </c>
      <c r="AU29" s="53">
        <v>0.85</v>
      </c>
      <c r="AV29" s="53">
        <v>0.79</v>
      </c>
      <c r="AW29" s="53">
        <v>0.85</v>
      </c>
      <c r="AX29" s="53"/>
      <c r="AY29" s="56">
        <f t="shared" si="2"/>
        <v>4.5695</v>
      </c>
      <c r="AZ29" s="56">
        <f t="shared" si="3"/>
        <v>2.4157999999999995</v>
      </c>
      <c r="BA29" s="56">
        <f t="shared" si="4"/>
        <v>4.2676</v>
      </c>
      <c r="BB29" s="56">
        <f t="shared" si="5"/>
        <v>1.6638</v>
      </c>
      <c r="BC29" s="56">
        <f t="shared" si="6"/>
        <v>0.5015999999999999</v>
      </c>
      <c r="BD29" s="56">
        <f t="shared" si="7"/>
        <v>2.3232</v>
      </c>
      <c r="BE29" s="56">
        <f t="shared" si="8"/>
        <v>0.5940000000000001</v>
      </c>
      <c r="BF29" s="56">
        <f t="shared" si="9"/>
        <v>2.8179</v>
      </c>
      <c r="BG29" s="55"/>
      <c r="BH29" s="56">
        <f t="shared" si="10"/>
        <v>4.2809</v>
      </c>
      <c r="BI29" s="56">
        <f t="shared" si="11"/>
        <v>2.2359</v>
      </c>
      <c r="BJ29" s="56">
        <f t="shared" si="12"/>
        <v>3.9952</v>
      </c>
      <c r="BK29" s="56">
        <f t="shared" si="13"/>
        <v>1.5576</v>
      </c>
      <c r="BL29" s="56">
        <f t="shared" si="14"/>
        <v>0.41609999999999997</v>
      </c>
      <c r="BM29" s="56">
        <f t="shared" si="15"/>
        <v>2.244</v>
      </c>
      <c r="BN29" s="56">
        <f t="shared" si="16"/>
        <v>0.5214000000000001</v>
      </c>
      <c r="BO29" s="56">
        <f t="shared" si="17"/>
        <v>2.5755</v>
      </c>
    </row>
    <row r="30" spans="1:67" ht="12.75" customHeight="1">
      <c r="A30" s="48" t="s">
        <v>6</v>
      </c>
      <c r="B30" s="49"/>
      <c r="C30" s="90">
        <f t="shared" si="0"/>
        <v>1200</v>
      </c>
      <c r="D30" s="50">
        <v>0.6</v>
      </c>
      <c r="E30" s="51">
        <v>7.45</v>
      </c>
      <c r="F30" s="51">
        <v>1.03</v>
      </c>
      <c r="G30" s="51">
        <v>10.81</v>
      </c>
      <c r="H30" s="51">
        <v>0.99</v>
      </c>
      <c r="I30" s="51">
        <v>1.04</v>
      </c>
      <c r="J30" s="51">
        <v>3.78</v>
      </c>
      <c r="K30" s="51">
        <v>1.48</v>
      </c>
      <c r="L30" s="51">
        <v>7.03</v>
      </c>
      <c r="M30" s="52">
        <v>2945</v>
      </c>
      <c r="N30" s="66">
        <v>2070</v>
      </c>
      <c r="O30" s="66">
        <v>2070</v>
      </c>
      <c r="P30" s="74">
        <v>3370</v>
      </c>
      <c r="Q30" s="52">
        <v>2070</v>
      </c>
      <c r="R30" s="51">
        <v>88.8</v>
      </c>
      <c r="S30" s="51">
        <v>0.41</v>
      </c>
      <c r="T30" s="51">
        <v>0.3</v>
      </c>
      <c r="U30" s="53">
        <v>0.92</v>
      </c>
      <c r="V30" s="54">
        <f t="shared" si="1"/>
        <v>0.276</v>
      </c>
      <c r="W30" s="55">
        <v>1.3</v>
      </c>
      <c r="X30" s="55">
        <v>0.17</v>
      </c>
      <c r="Y30" s="55"/>
      <c r="Z30" s="125">
        <v>0</v>
      </c>
      <c r="AA30" s="87">
        <v>0.44</v>
      </c>
      <c r="AB30" s="87">
        <v>0.25</v>
      </c>
      <c r="AC30" s="87">
        <v>0.15</v>
      </c>
      <c r="AD30" s="126">
        <v>0</v>
      </c>
      <c r="AE30" s="109">
        <f aca="true" t="shared" si="22" ref="AE30:AE35">44*W30/10</f>
        <v>5.720000000000001</v>
      </c>
      <c r="AF30" s="55"/>
      <c r="AG30" s="53">
        <v>0.94</v>
      </c>
      <c r="AH30" s="53">
        <v>0.88</v>
      </c>
      <c r="AI30" s="53">
        <v>0.92</v>
      </c>
      <c r="AJ30" s="53">
        <v>0.96</v>
      </c>
      <c r="AK30" s="53">
        <v>0.91</v>
      </c>
      <c r="AL30" s="53">
        <v>0.94</v>
      </c>
      <c r="AM30" s="53">
        <v>0.94</v>
      </c>
      <c r="AN30" s="53">
        <v>0.91</v>
      </c>
      <c r="AO30" s="53"/>
      <c r="AP30" s="53">
        <v>0.91</v>
      </c>
      <c r="AQ30" s="53">
        <v>0.71</v>
      </c>
      <c r="AR30" s="53">
        <v>0.91</v>
      </c>
      <c r="AS30" s="53">
        <v>0.85</v>
      </c>
      <c r="AT30" s="53">
        <v>0.81</v>
      </c>
      <c r="AU30" s="53">
        <v>0.86</v>
      </c>
      <c r="AV30" s="53">
        <v>0.88</v>
      </c>
      <c r="AW30" s="53">
        <v>0.9</v>
      </c>
      <c r="AX30" s="53"/>
      <c r="AY30" s="56">
        <f t="shared" si="2"/>
        <v>7.003</v>
      </c>
      <c r="AZ30" s="56">
        <f t="shared" si="3"/>
        <v>0.9064</v>
      </c>
      <c r="BA30" s="56">
        <f t="shared" si="4"/>
        <v>9.945200000000002</v>
      </c>
      <c r="BB30" s="56">
        <f t="shared" si="5"/>
        <v>0.9503999999999999</v>
      </c>
      <c r="BC30" s="56">
        <f t="shared" si="6"/>
        <v>0.9464</v>
      </c>
      <c r="BD30" s="56">
        <f t="shared" si="7"/>
        <v>3.5531999999999995</v>
      </c>
      <c r="BE30" s="56">
        <f t="shared" si="8"/>
        <v>1.3912</v>
      </c>
      <c r="BF30" s="56">
        <f t="shared" si="9"/>
        <v>6.3973</v>
      </c>
      <c r="BG30" s="55"/>
      <c r="BH30" s="56">
        <f t="shared" si="10"/>
        <v>6.7795000000000005</v>
      </c>
      <c r="BI30" s="56">
        <f t="shared" si="11"/>
        <v>0.7313</v>
      </c>
      <c r="BJ30" s="56">
        <f t="shared" si="12"/>
        <v>9.837100000000001</v>
      </c>
      <c r="BK30" s="56">
        <f t="shared" si="13"/>
        <v>0.8415</v>
      </c>
      <c r="BL30" s="56">
        <f t="shared" si="14"/>
        <v>0.8424</v>
      </c>
      <c r="BM30" s="56">
        <f t="shared" si="15"/>
        <v>3.2508</v>
      </c>
      <c r="BN30" s="56">
        <f t="shared" si="16"/>
        <v>1.3024</v>
      </c>
      <c r="BO30" s="56">
        <f t="shared" si="17"/>
        <v>6.327</v>
      </c>
    </row>
    <row r="31" spans="1:67" ht="12.75" customHeight="1">
      <c r="A31" s="48" t="s">
        <v>158</v>
      </c>
      <c r="B31" s="49"/>
      <c r="C31" s="90">
        <f t="shared" si="0"/>
        <v>1100</v>
      </c>
      <c r="D31" s="50">
        <v>0.55</v>
      </c>
      <c r="E31" s="51">
        <v>8.51</v>
      </c>
      <c r="F31" s="51">
        <v>0.49</v>
      </c>
      <c r="G31" s="51">
        <v>12.7</v>
      </c>
      <c r="H31" s="51">
        <v>0.81</v>
      </c>
      <c r="I31" s="51">
        <v>0.61</v>
      </c>
      <c r="J31" s="51">
        <v>3.38</v>
      </c>
      <c r="K31" s="51">
        <v>1.37</v>
      </c>
      <c r="L31" s="51">
        <v>8.5</v>
      </c>
      <c r="M31" s="66">
        <v>2945</v>
      </c>
      <c r="N31" s="66">
        <v>2070</v>
      </c>
      <c r="O31" s="66">
        <v>2070</v>
      </c>
      <c r="P31" s="66">
        <v>3370</v>
      </c>
      <c r="Q31" s="66">
        <v>2070</v>
      </c>
      <c r="R31" s="51">
        <v>92</v>
      </c>
      <c r="S31" s="51">
        <v>0.02</v>
      </c>
      <c r="T31" s="51">
        <v>0.37</v>
      </c>
      <c r="U31" s="53">
        <v>0.92</v>
      </c>
      <c r="V31" s="54">
        <f t="shared" si="1"/>
        <v>0.34040000000000004</v>
      </c>
      <c r="W31" s="55">
        <v>1.3</v>
      </c>
      <c r="X31" s="55">
        <v>0.17</v>
      </c>
      <c r="Y31" s="55"/>
      <c r="Z31" s="125">
        <v>0</v>
      </c>
      <c r="AA31" s="87">
        <v>0.58</v>
      </c>
      <c r="AB31" s="87">
        <v>1.4</v>
      </c>
      <c r="AC31" s="87">
        <v>0.62</v>
      </c>
      <c r="AD31" s="126">
        <v>0</v>
      </c>
      <c r="AE31" s="109">
        <f t="shared" si="22"/>
        <v>5.720000000000001</v>
      </c>
      <c r="AF31" s="55"/>
      <c r="AG31" s="72">
        <v>0.94</v>
      </c>
      <c r="AH31" s="72">
        <v>0.88</v>
      </c>
      <c r="AI31" s="72">
        <v>0.92</v>
      </c>
      <c r="AJ31" s="72">
        <v>0.96</v>
      </c>
      <c r="AK31" s="72">
        <v>0.91</v>
      </c>
      <c r="AL31" s="72">
        <v>0.94</v>
      </c>
      <c r="AM31" s="72">
        <v>0.94</v>
      </c>
      <c r="AN31" s="72">
        <v>0.91</v>
      </c>
      <c r="AO31" s="72"/>
      <c r="AP31" s="72">
        <v>0.91</v>
      </c>
      <c r="AQ31" s="72">
        <v>0.71</v>
      </c>
      <c r="AR31" s="72">
        <v>0.91</v>
      </c>
      <c r="AS31" s="72">
        <v>0.85</v>
      </c>
      <c r="AT31" s="72">
        <v>0.81</v>
      </c>
      <c r="AU31" s="72">
        <v>0.86</v>
      </c>
      <c r="AV31" s="72">
        <v>0.88</v>
      </c>
      <c r="AW31" s="72">
        <v>0.9</v>
      </c>
      <c r="AX31" s="53"/>
      <c r="AY31" s="56">
        <f t="shared" si="2"/>
        <v>7.9994</v>
      </c>
      <c r="AZ31" s="56">
        <f t="shared" si="3"/>
        <v>0.43119999999999997</v>
      </c>
      <c r="BA31" s="56">
        <f t="shared" si="4"/>
        <v>11.684</v>
      </c>
      <c r="BB31" s="56">
        <f t="shared" si="5"/>
        <v>0.7776000000000001</v>
      </c>
      <c r="BC31" s="56">
        <f t="shared" si="6"/>
        <v>0.5551</v>
      </c>
      <c r="BD31" s="56">
        <f t="shared" si="7"/>
        <v>3.1771999999999996</v>
      </c>
      <c r="BE31" s="56">
        <f t="shared" si="8"/>
        <v>1.2878</v>
      </c>
      <c r="BF31" s="56">
        <f t="shared" si="9"/>
        <v>7.735</v>
      </c>
      <c r="BG31" s="55"/>
      <c r="BH31" s="56">
        <f t="shared" si="10"/>
        <v>7.7441</v>
      </c>
      <c r="BI31" s="56">
        <f t="shared" si="11"/>
        <v>0.3479</v>
      </c>
      <c r="BJ31" s="56">
        <f t="shared" si="12"/>
        <v>11.557</v>
      </c>
      <c r="BK31" s="56">
        <f t="shared" si="13"/>
        <v>0.6885</v>
      </c>
      <c r="BL31" s="56">
        <f t="shared" si="14"/>
        <v>0.49410000000000004</v>
      </c>
      <c r="BM31" s="56">
        <f t="shared" si="15"/>
        <v>2.9068</v>
      </c>
      <c r="BN31" s="56">
        <f t="shared" si="16"/>
        <v>1.2056</v>
      </c>
      <c r="BO31" s="56">
        <f t="shared" si="17"/>
        <v>7.65</v>
      </c>
    </row>
    <row r="32" spans="1:67" ht="12.75" customHeight="1">
      <c r="A32" s="48" t="s">
        <v>9</v>
      </c>
      <c r="B32" s="57"/>
      <c r="C32" s="90">
        <f t="shared" si="0"/>
        <v>1000</v>
      </c>
      <c r="D32" s="50">
        <v>0.5</v>
      </c>
      <c r="E32" s="51">
        <v>0.9</v>
      </c>
      <c r="F32" s="51">
        <v>0.62</v>
      </c>
      <c r="G32" s="51">
        <v>1.08</v>
      </c>
      <c r="H32" s="51">
        <v>0.17</v>
      </c>
      <c r="I32" s="51">
        <v>0.25</v>
      </c>
      <c r="J32" s="51">
        <v>0.72</v>
      </c>
      <c r="K32" s="51">
        <v>0.18</v>
      </c>
      <c r="L32" s="51">
        <v>0.6</v>
      </c>
      <c r="M32" s="52">
        <v>3190</v>
      </c>
      <c r="N32" s="52">
        <v>2840</v>
      </c>
      <c r="O32" s="52">
        <v>2800</v>
      </c>
      <c r="P32" s="52">
        <v>3335</v>
      </c>
      <c r="Q32" s="52">
        <v>2215</v>
      </c>
      <c r="R32" s="51">
        <v>12.1</v>
      </c>
      <c r="S32" s="51">
        <v>0.75</v>
      </c>
      <c r="T32" s="51">
        <v>0.72</v>
      </c>
      <c r="U32" s="53">
        <v>0.97</v>
      </c>
      <c r="V32" s="54">
        <f t="shared" si="1"/>
        <v>0.6983999999999999</v>
      </c>
      <c r="W32" s="55">
        <v>0.9</v>
      </c>
      <c r="X32" s="55">
        <v>1.1</v>
      </c>
      <c r="Y32" s="55"/>
      <c r="Z32" s="55">
        <v>72</v>
      </c>
      <c r="AA32" s="87">
        <v>0.94</v>
      </c>
      <c r="AB32" s="87">
        <v>1.4</v>
      </c>
      <c r="AC32" s="87">
        <v>1.96</v>
      </c>
      <c r="AD32" s="126">
        <v>0</v>
      </c>
      <c r="AE32" s="109">
        <f t="shared" si="22"/>
        <v>3.96</v>
      </c>
      <c r="AF32" s="55"/>
      <c r="AG32" s="53">
        <v>0.87</v>
      </c>
      <c r="AH32" s="53">
        <v>0.83</v>
      </c>
      <c r="AI32" s="53">
        <v>0.87</v>
      </c>
      <c r="AJ32" s="53">
        <v>0.81</v>
      </c>
      <c r="AK32" s="53">
        <v>0.85</v>
      </c>
      <c r="AL32" s="53">
        <v>0.79</v>
      </c>
      <c r="AM32" s="53">
        <v>0.79</v>
      </c>
      <c r="AN32" s="53">
        <v>0.77</v>
      </c>
      <c r="AO32" s="53"/>
      <c r="AP32" s="53">
        <v>0.82</v>
      </c>
      <c r="AQ32" s="53">
        <v>0.85</v>
      </c>
      <c r="AR32" s="53">
        <v>0.89</v>
      </c>
      <c r="AS32" s="53">
        <v>0.84</v>
      </c>
      <c r="AT32" s="53">
        <v>0.86</v>
      </c>
      <c r="AU32" s="53">
        <v>0.79</v>
      </c>
      <c r="AV32" s="53">
        <v>0.78</v>
      </c>
      <c r="AW32" s="53">
        <v>0.81</v>
      </c>
      <c r="AX32" s="67"/>
      <c r="AY32" s="56">
        <f t="shared" si="2"/>
        <v>0.783</v>
      </c>
      <c r="AZ32" s="56">
        <f t="shared" si="3"/>
        <v>0.5146</v>
      </c>
      <c r="BA32" s="56">
        <f t="shared" si="4"/>
        <v>0.9396000000000001</v>
      </c>
      <c r="BB32" s="56">
        <f t="shared" si="5"/>
        <v>0.13770000000000002</v>
      </c>
      <c r="BC32" s="56">
        <f t="shared" si="6"/>
        <v>0.2125</v>
      </c>
      <c r="BD32" s="56">
        <f t="shared" si="7"/>
        <v>0.5688</v>
      </c>
      <c r="BE32" s="56">
        <f t="shared" si="8"/>
        <v>0.1422</v>
      </c>
      <c r="BF32" s="56">
        <f t="shared" si="9"/>
        <v>0.46199999999999997</v>
      </c>
      <c r="BG32" s="55"/>
      <c r="BH32" s="56">
        <f t="shared" si="10"/>
        <v>0.738</v>
      </c>
      <c r="BI32" s="56">
        <f t="shared" si="11"/>
        <v>0.527</v>
      </c>
      <c r="BJ32" s="56">
        <f t="shared" si="12"/>
        <v>0.9612</v>
      </c>
      <c r="BK32" s="56">
        <f t="shared" si="13"/>
        <v>0.1428</v>
      </c>
      <c r="BL32" s="56">
        <f t="shared" si="14"/>
        <v>0.215</v>
      </c>
      <c r="BM32" s="56">
        <f t="shared" si="15"/>
        <v>0.5688</v>
      </c>
      <c r="BN32" s="56">
        <f t="shared" si="16"/>
        <v>0.1404</v>
      </c>
      <c r="BO32" s="56">
        <f t="shared" si="17"/>
        <v>0.486</v>
      </c>
    </row>
    <row r="33" spans="1:67" ht="12.75" customHeight="1">
      <c r="A33" s="48" t="s">
        <v>60</v>
      </c>
      <c r="B33" s="49"/>
      <c r="C33" s="90">
        <f t="shared" si="0"/>
        <v>900</v>
      </c>
      <c r="D33" s="50">
        <v>0.45</v>
      </c>
      <c r="E33" s="51">
        <v>0.2</v>
      </c>
      <c r="F33" s="51">
        <v>0.13</v>
      </c>
      <c r="G33" s="51">
        <v>0.22</v>
      </c>
      <c r="H33" s="51">
        <v>0.04</v>
      </c>
      <c r="I33" s="51">
        <v>0.05</v>
      </c>
      <c r="J33" s="51">
        <v>0.13</v>
      </c>
      <c r="K33" s="51">
        <v>0.13</v>
      </c>
      <c r="L33" s="51">
        <v>0.13</v>
      </c>
      <c r="M33" s="52">
        <v>3300</v>
      </c>
      <c r="N33" s="66">
        <v>2840</v>
      </c>
      <c r="O33" s="66">
        <v>2800</v>
      </c>
      <c r="P33" s="74">
        <v>3435</v>
      </c>
      <c r="Q33" s="66">
        <v>2215</v>
      </c>
      <c r="R33" s="51">
        <v>5</v>
      </c>
      <c r="S33" s="69">
        <v>0.52</v>
      </c>
      <c r="T33" s="69">
        <v>0.63</v>
      </c>
      <c r="U33" s="53">
        <v>0.97</v>
      </c>
      <c r="V33" s="54">
        <f t="shared" si="1"/>
        <v>0.6111</v>
      </c>
      <c r="W33" s="108">
        <v>0.2</v>
      </c>
      <c r="X33" s="108">
        <v>0</v>
      </c>
      <c r="Y33" s="55"/>
      <c r="Z33" s="55">
        <v>80</v>
      </c>
      <c r="AA33" s="87">
        <v>1</v>
      </c>
      <c r="AB33" s="87">
        <v>2.23</v>
      </c>
      <c r="AC33" s="87">
        <v>2.1</v>
      </c>
      <c r="AD33" s="126">
        <v>0</v>
      </c>
      <c r="AE33" s="109">
        <f t="shared" si="22"/>
        <v>0.8800000000000001</v>
      </c>
      <c r="AF33" s="55"/>
      <c r="AG33" s="70">
        <v>0.87</v>
      </c>
      <c r="AH33" s="70">
        <v>0.83</v>
      </c>
      <c r="AI33" s="70">
        <v>0.87</v>
      </c>
      <c r="AJ33" s="70">
        <v>0.81</v>
      </c>
      <c r="AK33" s="70">
        <v>0.85</v>
      </c>
      <c r="AL33" s="70">
        <v>0.79</v>
      </c>
      <c r="AM33" s="70">
        <v>0.79</v>
      </c>
      <c r="AN33" s="70">
        <v>0.77</v>
      </c>
      <c r="AO33" s="70"/>
      <c r="AP33" s="70">
        <v>0.82</v>
      </c>
      <c r="AQ33" s="70">
        <v>0.85</v>
      </c>
      <c r="AR33" s="70">
        <v>0.89</v>
      </c>
      <c r="AS33" s="70">
        <v>0.84</v>
      </c>
      <c r="AT33" s="70">
        <v>0.86</v>
      </c>
      <c r="AU33" s="70">
        <v>0.79</v>
      </c>
      <c r="AV33" s="70">
        <v>0.78</v>
      </c>
      <c r="AW33" s="70">
        <v>0.81</v>
      </c>
      <c r="AX33" s="70"/>
      <c r="AY33" s="56">
        <f t="shared" si="2"/>
        <v>0.17400000000000002</v>
      </c>
      <c r="AZ33" s="56">
        <f t="shared" si="3"/>
        <v>0.1079</v>
      </c>
      <c r="BA33" s="56">
        <f t="shared" si="4"/>
        <v>0.1914</v>
      </c>
      <c r="BB33" s="56">
        <f t="shared" si="5"/>
        <v>0.032400000000000005</v>
      </c>
      <c r="BC33" s="56">
        <f t="shared" si="6"/>
        <v>0.0425</v>
      </c>
      <c r="BD33" s="56">
        <f t="shared" si="7"/>
        <v>0.10270000000000001</v>
      </c>
      <c r="BE33" s="56">
        <f t="shared" si="8"/>
        <v>0.10270000000000001</v>
      </c>
      <c r="BF33" s="56">
        <f t="shared" si="9"/>
        <v>0.10010000000000001</v>
      </c>
      <c r="BG33" s="55"/>
      <c r="BH33" s="56">
        <f t="shared" si="10"/>
        <v>0.164</v>
      </c>
      <c r="BI33" s="56">
        <f t="shared" si="11"/>
        <v>0.1105</v>
      </c>
      <c r="BJ33" s="56">
        <f t="shared" si="12"/>
        <v>0.1958</v>
      </c>
      <c r="BK33" s="56">
        <f t="shared" si="13"/>
        <v>0.0336</v>
      </c>
      <c r="BL33" s="56">
        <f t="shared" si="14"/>
        <v>0.043000000000000003</v>
      </c>
      <c r="BM33" s="56">
        <f t="shared" si="15"/>
        <v>0.10270000000000001</v>
      </c>
      <c r="BN33" s="56">
        <f t="shared" si="16"/>
        <v>0.1014</v>
      </c>
      <c r="BO33" s="56">
        <f t="shared" si="17"/>
        <v>0.1053</v>
      </c>
    </row>
    <row r="34" spans="1:67" ht="12.75" customHeight="1">
      <c r="A34" s="48" t="s">
        <v>14</v>
      </c>
      <c r="B34" s="49"/>
      <c r="C34" s="90">
        <f t="shared" si="0"/>
        <v>1000</v>
      </c>
      <c r="D34" s="50">
        <v>0.5</v>
      </c>
      <c r="E34" s="121"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v>0</v>
      </c>
      <c r="M34" s="52">
        <v>3435</v>
      </c>
      <c r="N34" s="66">
        <v>3038.7358916478556</v>
      </c>
      <c r="O34" s="66">
        <v>2995.936794582393</v>
      </c>
      <c r="P34" s="74">
        <v>3525</v>
      </c>
      <c r="Q34" s="52">
        <v>2370</v>
      </c>
      <c r="R34" s="121">
        <v>0</v>
      </c>
      <c r="S34" s="121">
        <v>0</v>
      </c>
      <c r="T34" s="121">
        <v>0</v>
      </c>
      <c r="U34" s="122">
        <v>0</v>
      </c>
      <c r="V34" s="54">
        <f t="shared" si="1"/>
        <v>0</v>
      </c>
      <c r="W34" s="125">
        <v>0</v>
      </c>
      <c r="X34" s="125">
        <v>0</v>
      </c>
      <c r="Y34" s="125">
        <v>0</v>
      </c>
      <c r="Z34" s="55">
        <v>100</v>
      </c>
      <c r="AA34" s="55">
        <v>0</v>
      </c>
      <c r="AB34" s="55">
        <v>0</v>
      </c>
      <c r="AC34" s="55">
        <v>0</v>
      </c>
      <c r="AD34" s="126">
        <v>0</v>
      </c>
      <c r="AE34" s="55">
        <f t="shared" si="22"/>
        <v>0</v>
      </c>
      <c r="AF34" s="55"/>
      <c r="AG34" s="125">
        <v>0</v>
      </c>
      <c r="AH34" s="125">
        <v>0</v>
      </c>
      <c r="AI34" s="125">
        <v>0</v>
      </c>
      <c r="AJ34" s="125">
        <v>0</v>
      </c>
      <c r="AK34" s="125">
        <v>0</v>
      </c>
      <c r="AL34" s="125">
        <v>0</v>
      </c>
      <c r="AM34" s="125">
        <v>0</v>
      </c>
      <c r="AN34" s="125">
        <v>0</v>
      </c>
      <c r="AO34" s="55"/>
      <c r="AP34" s="125">
        <v>0</v>
      </c>
      <c r="AQ34" s="125">
        <v>0</v>
      </c>
      <c r="AR34" s="125">
        <v>0</v>
      </c>
      <c r="AS34" s="125">
        <v>0</v>
      </c>
      <c r="AT34" s="125">
        <v>0</v>
      </c>
      <c r="AU34" s="125">
        <v>0</v>
      </c>
      <c r="AV34" s="125">
        <v>0</v>
      </c>
      <c r="AW34" s="125">
        <v>0</v>
      </c>
      <c r="AX34" s="67"/>
      <c r="AY34" s="67">
        <f aca="true" t="shared" si="23" ref="AY34:AY67">IF(E34="","",E34*AG34)</f>
        <v>0</v>
      </c>
      <c r="AZ34" s="67"/>
      <c r="BA34" s="67"/>
      <c r="BB34" s="67"/>
      <c r="BC34" s="67"/>
      <c r="BD34" s="67"/>
      <c r="BE34" s="67"/>
      <c r="BF34" s="67"/>
      <c r="BG34" s="55"/>
      <c r="BH34" s="67"/>
      <c r="BI34" s="67"/>
      <c r="BJ34" s="67"/>
      <c r="BK34" s="67"/>
      <c r="BL34" s="67"/>
      <c r="BM34" s="67"/>
      <c r="BN34" s="67"/>
      <c r="BO34" s="67"/>
    </row>
    <row r="35" spans="1:67" ht="12.75">
      <c r="A35" s="71" t="s">
        <v>161</v>
      </c>
      <c r="B35" s="49"/>
      <c r="C35" s="90">
        <f t="shared" si="0"/>
        <v>2400</v>
      </c>
      <c r="D35" s="50">
        <v>1.2</v>
      </c>
      <c r="E35" s="51">
        <v>2.86</v>
      </c>
      <c r="F35" s="51">
        <v>1.87</v>
      </c>
      <c r="G35" s="51">
        <v>3.67</v>
      </c>
      <c r="H35" s="51">
        <v>0.92</v>
      </c>
      <c r="I35" s="51">
        <v>0.3</v>
      </c>
      <c r="J35" s="51">
        <v>1.62</v>
      </c>
      <c r="K35" s="51">
        <v>0.51</v>
      </c>
      <c r="L35" s="51">
        <v>2.33</v>
      </c>
      <c r="M35" s="52">
        <v>3715</v>
      </c>
      <c r="N35" s="52">
        <v>2700</v>
      </c>
      <c r="O35" s="52">
        <v>2700</v>
      </c>
      <c r="P35" s="66">
        <v>3980</v>
      </c>
      <c r="Q35" s="52">
        <v>2360</v>
      </c>
      <c r="R35" s="51">
        <v>34.6</v>
      </c>
      <c r="S35" s="51">
        <v>1.31</v>
      </c>
      <c r="T35" s="51">
        <v>1</v>
      </c>
      <c r="U35" s="53">
        <v>0.91</v>
      </c>
      <c r="V35" s="54">
        <f t="shared" si="1"/>
        <v>0.91</v>
      </c>
      <c r="W35" s="106">
        <v>0.9</v>
      </c>
      <c r="X35" s="106">
        <v>0.01</v>
      </c>
      <c r="Y35" s="108">
        <v>0.2</v>
      </c>
      <c r="Z35" s="55">
        <v>50</v>
      </c>
      <c r="AA35" s="87">
        <v>0.48</v>
      </c>
      <c r="AB35" s="87">
        <v>1</v>
      </c>
      <c r="AC35" s="87">
        <v>1.6</v>
      </c>
      <c r="AD35" s="126">
        <v>0</v>
      </c>
      <c r="AE35" s="109">
        <f t="shared" si="22"/>
        <v>3.96</v>
      </c>
      <c r="AF35" s="55"/>
      <c r="AG35" s="78">
        <v>0.93</v>
      </c>
      <c r="AH35" s="78">
        <v>0.88</v>
      </c>
      <c r="AI35" s="78">
        <v>0.97</v>
      </c>
      <c r="AJ35" s="78">
        <v>0.96</v>
      </c>
      <c r="AK35" s="78">
        <v>0.89</v>
      </c>
      <c r="AL35" s="78">
        <v>0.92</v>
      </c>
      <c r="AM35" s="78">
        <v>0.97</v>
      </c>
      <c r="AN35" s="78">
        <v>0.91</v>
      </c>
      <c r="AO35" s="55"/>
      <c r="AP35" s="78">
        <v>0.91</v>
      </c>
      <c r="AQ35" s="78">
        <v>0.86</v>
      </c>
      <c r="AR35" s="78">
        <v>0.93</v>
      </c>
      <c r="AS35" s="78">
        <v>0.92</v>
      </c>
      <c r="AT35" s="78">
        <v>0.81</v>
      </c>
      <c r="AU35" s="78">
        <v>0.85</v>
      </c>
      <c r="AV35" s="78">
        <v>0.9</v>
      </c>
      <c r="AW35" s="78">
        <v>0.87</v>
      </c>
      <c r="AX35" s="73"/>
      <c r="AY35" s="56">
        <f t="shared" si="23"/>
        <v>2.6598</v>
      </c>
      <c r="AZ35" s="56">
        <f aca="true" t="shared" si="24" ref="AZ35:AZ67">IF(F35="","",F35*AH35)</f>
        <v>1.6456000000000002</v>
      </c>
      <c r="BA35" s="56">
        <f aca="true" t="shared" si="25" ref="BA35:BA67">IF(G35="","",G35*AI35)</f>
        <v>3.5599</v>
      </c>
      <c r="BB35" s="56">
        <f aca="true" t="shared" si="26" ref="BB35:BB67">IF(H35="","",H35*AJ35)</f>
        <v>0.8832</v>
      </c>
      <c r="BC35" s="56">
        <f aca="true" t="shared" si="27" ref="BC35:BC67">IF(I35="","",I35*AK35)</f>
        <v>0.267</v>
      </c>
      <c r="BD35" s="56">
        <f aca="true" t="shared" si="28" ref="BD35:BD67">IF(J35="","",J35*AL35)</f>
        <v>1.4904000000000002</v>
      </c>
      <c r="BE35" s="56">
        <f aca="true" t="shared" si="29" ref="BE35:BE67">IF(K35="","",K35*AM35)</f>
        <v>0.4947</v>
      </c>
      <c r="BF35" s="56">
        <f aca="true" t="shared" si="30" ref="BF35:BF67">IF(L35="","",L35*AN35)</f>
        <v>2.1203000000000003</v>
      </c>
      <c r="BG35" s="55"/>
      <c r="BH35" s="56">
        <f aca="true" t="shared" si="31" ref="BH35:BH67">IF(E35="","",E35*AP35)</f>
        <v>2.6026</v>
      </c>
      <c r="BI35" s="56">
        <f aca="true" t="shared" si="32" ref="BI35:BI67">IF(F35="","",F35*AQ35)</f>
        <v>1.6082</v>
      </c>
      <c r="BJ35" s="56">
        <f aca="true" t="shared" si="33" ref="BJ35:BJ67">IF(G35="","",G35*AR35)</f>
        <v>3.4131</v>
      </c>
      <c r="BK35" s="56">
        <f aca="true" t="shared" si="34" ref="BK35:BK67">IF(H35="","",H35*AS35)</f>
        <v>0.8464</v>
      </c>
      <c r="BL35" s="56">
        <f aca="true" t="shared" si="35" ref="BL35:BL67">IF(I35="","",I35*AT35)</f>
        <v>0.243</v>
      </c>
      <c r="BM35" s="56">
        <f aca="true" t="shared" si="36" ref="BM35:BM67">IF(J35="","",J35*AU35)</f>
        <v>1.377</v>
      </c>
      <c r="BN35" s="56">
        <f aca="true" t="shared" si="37" ref="BN35:BN67">IF(K35="","",K35*AV35)</f>
        <v>0.459</v>
      </c>
      <c r="BO35" s="56">
        <f aca="true" t="shared" si="38" ref="BO35:BO67">IF(L35="","",L35*AW35)</f>
        <v>2.0271</v>
      </c>
    </row>
    <row r="36" spans="1:67" ht="12.75">
      <c r="A36" s="71" t="s">
        <v>96</v>
      </c>
      <c r="B36" s="49"/>
      <c r="C36" s="90">
        <f t="shared" si="0"/>
        <v>1200</v>
      </c>
      <c r="D36" s="50">
        <v>0.6</v>
      </c>
      <c r="E36" s="51">
        <v>4.2</v>
      </c>
      <c r="F36" s="51">
        <v>3.3</v>
      </c>
      <c r="G36" s="51">
        <v>5.3</v>
      </c>
      <c r="H36" s="51">
        <v>0.9</v>
      </c>
      <c r="I36" s="51">
        <v>1</v>
      </c>
      <c r="J36" s="51">
        <v>2.8</v>
      </c>
      <c r="K36" s="51">
        <v>0.9</v>
      </c>
      <c r="L36" s="51">
        <v>3.4</v>
      </c>
      <c r="M36" s="52">
        <v>3500</v>
      </c>
      <c r="N36" s="52"/>
      <c r="O36" s="52"/>
      <c r="P36" s="74">
        <v>4100</v>
      </c>
      <c r="Q36" s="52">
        <v>2000</v>
      </c>
      <c r="R36" s="51">
        <v>64</v>
      </c>
      <c r="S36" s="51">
        <v>0.35</v>
      </c>
      <c r="T36" s="51">
        <v>0.81</v>
      </c>
      <c r="U36" s="53">
        <v>0.23</v>
      </c>
      <c r="V36" s="54">
        <f t="shared" si="1"/>
        <v>0.18630000000000002</v>
      </c>
      <c r="W36" s="106">
        <v>3</v>
      </c>
      <c r="X36" s="106">
        <f>W36*0.51</f>
        <v>1.53</v>
      </c>
      <c r="Y36" s="55"/>
      <c r="Z36" s="125">
        <v>0</v>
      </c>
      <c r="AA36" s="87">
        <v>0.05</v>
      </c>
      <c r="AB36" s="109">
        <v>0.05</v>
      </c>
      <c r="AC36" s="87">
        <v>2.2</v>
      </c>
      <c r="AD36" s="126">
        <v>0</v>
      </c>
      <c r="AE36" s="109">
        <f>130*W36/10</f>
        <v>39</v>
      </c>
      <c r="AF36" s="55"/>
      <c r="AG36" s="78">
        <v>0.95</v>
      </c>
      <c r="AH36" s="78">
        <v>0.95</v>
      </c>
      <c r="AI36" s="78">
        <v>0.95</v>
      </c>
      <c r="AJ36" s="78">
        <v>0.94</v>
      </c>
      <c r="AK36" s="78">
        <v>0.94</v>
      </c>
      <c r="AL36" s="78">
        <v>0.94</v>
      </c>
      <c r="AM36" s="78">
        <v>0.93</v>
      </c>
      <c r="AN36" s="78">
        <v>0.94</v>
      </c>
      <c r="AO36" s="112"/>
      <c r="AP36" s="78">
        <v>0.93</v>
      </c>
      <c r="AQ36" s="78">
        <v>0.93</v>
      </c>
      <c r="AR36" s="78">
        <v>0.93</v>
      </c>
      <c r="AS36" s="78">
        <v>0.91</v>
      </c>
      <c r="AT36" s="78">
        <v>0.9</v>
      </c>
      <c r="AU36" s="78">
        <v>0.9</v>
      </c>
      <c r="AV36" s="78">
        <v>0.89</v>
      </c>
      <c r="AW36" s="78">
        <v>0.91</v>
      </c>
      <c r="AX36" s="73"/>
      <c r="AY36" s="56">
        <f t="shared" si="23"/>
        <v>3.9899999999999998</v>
      </c>
      <c r="AZ36" s="56">
        <f t="shared" si="24"/>
        <v>3.135</v>
      </c>
      <c r="BA36" s="56">
        <f t="shared" si="25"/>
        <v>5.034999999999999</v>
      </c>
      <c r="BB36" s="56">
        <f t="shared" si="26"/>
        <v>0.846</v>
      </c>
      <c r="BC36" s="56">
        <f t="shared" si="27"/>
        <v>0.94</v>
      </c>
      <c r="BD36" s="56">
        <f t="shared" si="28"/>
        <v>2.6319999999999997</v>
      </c>
      <c r="BE36" s="56">
        <f t="shared" si="29"/>
        <v>0.8370000000000001</v>
      </c>
      <c r="BF36" s="56">
        <f t="shared" si="30"/>
        <v>3.1959999999999997</v>
      </c>
      <c r="BG36" s="55"/>
      <c r="BH36" s="56">
        <f t="shared" si="31"/>
        <v>3.9060000000000006</v>
      </c>
      <c r="BI36" s="56">
        <f t="shared" si="32"/>
        <v>3.069</v>
      </c>
      <c r="BJ36" s="56">
        <f t="shared" si="33"/>
        <v>4.929</v>
      </c>
      <c r="BK36" s="56">
        <f t="shared" si="34"/>
        <v>0.8190000000000001</v>
      </c>
      <c r="BL36" s="56">
        <f t="shared" si="35"/>
        <v>0.9</v>
      </c>
      <c r="BM36" s="56">
        <f t="shared" si="36"/>
        <v>2.52</v>
      </c>
      <c r="BN36" s="56">
        <f t="shared" si="37"/>
        <v>0.801</v>
      </c>
      <c r="BO36" s="56">
        <f t="shared" si="38"/>
        <v>3.094</v>
      </c>
    </row>
    <row r="37" spans="1:67" ht="12.75">
      <c r="A37" s="71" t="s">
        <v>97</v>
      </c>
      <c r="B37" s="49"/>
      <c r="C37" s="90">
        <f t="shared" si="0"/>
        <v>350</v>
      </c>
      <c r="D37" s="50">
        <v>0.175</v>
      </c>
      <c r="E37" s="51">
        <v>0.48</v>
      </c>
      <c r="F37" s="51">
        <v>0.55</v>
      </c>
      <c r="G37" s="51">
        <v>0.98</v>
      </c>
      <c r="H37" s="51">
        <v>0.2</v>
      </c>
      <c r="I37" s="51">
        <v>0.22</v>
      </c>
      <c r="J37" s="51">
        <v>0.44</v>
      </c>
      <c r="K37" s="51">
        <v>0.18</v>
      </c>
      <c r="L37" s="51">
        <v>0.72</v>
      </c>
      <c r="M37" s="52">
        <v>3465</v>
      </c>
      <c r="N37" s="52">
        <v>2389</v>
      </c>
      <c r="O37" s="52">
        <v>2413</v>
      </c>
      <c r="P37" s="74">
        <v>3690</v>
      </c>
      <c r="Q37" s="52">
        <v>2310</v>
      </c>
      <c r="R37" s="51">
        <v>13.9</v>
      </c>
      <c r="S37" s="51">
        <v>0.08</v>
      </c>
      <c r="T37" s="51">
        <v>0.41</v>
      </c>
      <c r="U37" s="53">
        <v>0.13</v>
      </c>
      <c r="V37" s="54">
        <f t="shared" si="1"/>
        <v>0.0533</v>
      </c>
      <c r="W37" s="55">
        <v>6.2</v>
      </c>
      <c r="X37" s="55">
        <v>2.4</v>
      </c>
      <c r="Y37" s="55">
        <v>4</v>
      </c>
      <c r="Z37" s="125">
        <v>0</v>
      </c>
      <c r="AA37" s="87">
        <v>0.05</v>
      </c>
      <c r="AB37" s="87">
        <v>0.09</v>
      </c>
      <c r="AC37" s="87">
        <v>0.38</v>
      </c>
      <c r="AD37" s="126">
        <v>0</v>
      </c>
      <c r="AE37" s="109">
        <f>125*W37/10</f>
        <v>77.5</v>
      </c>
      <c r="AF37" s="55"/>
      <c r="AG37" s="53">
        <v>0.79</v>
      </c>
      <c r="AH37" s="53">
        <v>0.83</v>
      </c>
      <c r="AI37" s="53">
        <v>0.83</v>
      </c>
      <c r="AJ37" s="53">
        <v>0.86</v>
      </c>
      <c r="AK37" s="53">
        <v>0.85</v>
      </c>
      <c r="AL37" s="53">
        <v>0.8</v>
      </c>
      <c r="AM37" s="53">
        <v>0.82</v>
      </c>
      <c r="AN37" s="53">
        <v>0.81</v>
      </c>
      <c r="AO37" s="55"/>
      <c r="AP37" s="53">
        <v>0.79</v>
      </c>
      <c r="AQ37" s="53">
        <v>0.83</v>
      </c>
      <c r="AR37" s="53">
        <v>0.83</v>
      </c>
      <c r="AS37" s="53">
        <v>0.85</v>
      </c>
      <c r="AT37" s="53">
        <v>0.8</v>
      </c>
      <c r="AU37" s="53">
        <v>0.76</v>
      </c>
      <c r="AV37" s="53">
        <v>0.8</v>
      </c>
      <c r="AW37" s="53">
        <v>0.82</v>
      </c>
      <c r="AX37" s="67"/>
      <c r="AY37" s="56">
        <f t="shared" si="23"/>
        <v>0.3792</v>
      </c>
      <c r="AZ37" s="56">
        <f t="shared" si="24"/>
        <v>0.4565</v>
      </c>
      <c r="BA37" s="56">
        <f t="shared" si="25"/>
        <v>0.8133999999999999</v>
      </c>
      <c r="BB37" s="56">
        <f t="shared" si="26"/>
        <v>0.17200000000000001</v>
      </c>
      <c r="BC37" s="56">
        <f t="shared" si="27"/>
        <v>0.187</v>
      </c>
      <c r="BD37" s="56">
        <f t="shared" si="28"/>
        <v>0.35200000000000004</v>
      </c>
      <c r="BE37" s="56">
        <f t="shared" si="29"/>
        <v>0.14759999999999998</v>
      </c>
      <c r="BF37" s="56">
        <f t="shared" si="30"/>
        <v>0.5832</v>
      </c>
      <c r="BG37" s="55"/>
      <c r="BH37" s="56">
        <f t="shared" si="31"/>
        <v>0.3792</v>
      </c>
      <c r="BI37" s="56">
        <f t="shared" si="32"/>
        <v>0.4565</v>
      </c>
      <c r="BJ37" s="56">
        <f t="shared" si="33"/>
        <v>0.8133999999999999</v>
      </c>
      <c r="BK37" s="56">
        <f t="shared" si="34"/>
        <v>0.17</v>
      </c>
      <c r="BL37" s="56">
        <f t="shared" si="35"/>
        <v>0.17600000000000002</v>
      </c>
      <c r="BM37" s="56">
        <f t="shared" si="36"/>
        <v>0.33440000000000003</v>
      </c>
      <c r="BN37" s="56">
        <f t="shared" si="37"/>
        <v>0.144</v>
      </c>
      <c r="BO37" s="56">
        <f t="shared" si="38"/>
        <v>0.5903999999999999</v>
      </c>
    </row>
    <row r="38" spans="1:67" ht="12.75">
      <c r="A38" s="71" t="s">
        <v>73</v>
      </c>
      <c r="B38" s="49"/>
      <c r="C38" s="90">
        <f t="shared" si="0"/>
        <v>160</v>
      </c>
      <c r="D38" s="50">
        <v>0.08</v>
      </c>
      <c r="E38" s="121"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v>0</v>
      </c>
      <c r="M38" s="74">
        <v>3985</v>
      </c>
      <c r="N38" s="52">
        <v>2920</v>
      </c>
      <c r="O38" s="52">
        <v>2920</v>
      </c>
      <c r="P38" s="74">
        <v>4000</v>
      </c>
      <c r="Q38" s="74">
        <v>2505</v>
      </c>
      <c r="R38" s="121">
        <v>0</v>
      </c>
      <c r="S38" s="121">
        <v>0</v>
      </c>
      <c r="T38" s="121">
        <v>0</v>
      </c>
      <c r="U38" s="122">
        <v>0</v>
      </c>
      <c r="V38" s="54">
        <f t="shared" si="1"/>
        <v>0</v>
      </c>
      <c r="W38" s="125">
        <v>0</v>
      </c>
      <c r="X38" s="125">
        <v>0</v>
      </c>
      <c r="Y38" s="55">
        <v>0.2</v>
      </c>
      <c r="Z38" s="125">
        <v>0</v>
      </c>
      <c r="AA38" s="87">
        <v>0</v>
      </c>
      <c r="AB38" s="87">
        <v>0</v>
      </c>
      <c r="AC38" s="87">
        <v>0</v>
      </c>
      <c r="AD38" s="126">
        <v>0</v>
      </c>
      <c r="AE38" s="109">
        <f>125*W38/10</f>
        <v>0</v>
      </c>
      <c r="AF38" s="55"/>
      <c r="AG38" s="125">
        <v>0</v>
      </c>
      <c r="AH38" s="125">
        <v>0</v>
      </c>
      <c r="AI38" s="125">
        <v>0</v>
      </c>
      <c r="AJ38" s="125">
        <v>0</v>
      </c>
      <c r="AK38" s="125">
        <v>0</v>
      </c>
      <c r="AL38" s="125">
        <v>0</v>
      </c>
      <c r="AM38" s="125">
        <v>0</v>
      </c>
      <c r="AN38" s="125">
        <v>0</v>
      </c>
      <c r="AO38" s="55"/>
      <c r="AP38" s="125">
        <v>0</v>
      </c>
      <c r="AQ38" s="125">
        <v>0</v>
      </c>
      <c r="AR38" s="125">
        <v>0</v>
      </c>
      <c r="AS38" s="125">
        <v>0</v>
      </c>
      <c r="AT38" s="125">
        <v>0</v>
      </c>
      <c r="AU38" s="125">
        <v>0</v>
      </c>
      <c r="AV38" s="125">
        <v>0</v>
      </c>
      <c r="AW38" s="125">
        <v>0</v>
      </c>
      <c r="AX38" s="53"/>
      <c r="AY38" s="56">
        <f t="shared" si="23"/>
        <v>0</v>
      </c>
      <c r="AZ38" s="56">
        <f t="shared" si="24"/>
        <v>0</v>
      </c>
      <c r="BA38" s="56">
        <f t="shared" si="25"/>
        <v>0</v>
      </c>
      <c r="BB38" s="56">
        <f t="shared" si="26"/>
        <v>0</v>
      </c>
      <c r="BC38" s="56">
        <f t="shared" si="27"/>
        <v>0</v>
      </c>
      <c r="BD38" s="56">
        <f t="shared" si="28"/>
        <v>0</v>
      </c>
      <c r="BE38" s="56">
        <f t="shared" si="29"/>
        <v>0</v>
      </c>
      <c r="BF38" s="56">
        <f t="shared" si="30"/>
        <v>0</v>
      </c>
      <c r="BG38" s="55"/>
      <c r="BH38" s="56">
        <f t="shared" si="31"/>
        <v>0</v>
      </c>
      <c r="BI38" s="56">
        <f t="shared" si="32"/>
        <v>0</v>
      </c>
      <c r="BJ38" s="56">
        <f t="shared" si="33"/>
        <v>0</v>
      </c>
      <c r="BK38" s="56">
        <f t="shared" si="34"/>
        <v>0</v>
      </c>
      <c r="BL38" s="56">
        <f t="shared" si="35"/>
        <v>0</v>
      </c>
      <c r="BM38" s="56">
        <f t="shared" si="36"/>
        <v>0</v>
      </c>
      <c r="BN38" s="56">
        <f t="shared" si="37"/>
        <v>0</v>
      </c>
      <c r="BO38" s="56">
        <f t="shared" si="38"/>
        <v>0</v>
      </c>
    </row>
    <row r="39" spans="1:67" ht="12.75" customHeight="1">
      <c r="A39" s="48" t="s">
        <v>13</v>
      </c>
      <c r="B39" s="49"/>
      <c r="C39" s="90">
        <f t="shared" si="0"/>
        <v>460</v>
      </c>
      <c r="D39" s="50">
        <v>0.23</v>
      </c>
      <c r="E39" s="121"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v>0</v>
      </c>
      <c r="M39" s="52">
        <v>7955</v>
      </c>
      <c r="N39" s="52">
        <v>7110</v>
      </c>
      <c r="O39" s="52">
        <v>7110</v>
      </c>
      <c r="P39" s="52">
        <v>8290</v>
      </c>
      <c r="Q39" s="52">
        <v>5095</v>
      </c>
      <c r="R39" s="121">
        <v>0</v>
      </c>
      <c r="S39" s="121">
        <v>0</v>
      </c>
      <c r="T39" s="121">
        <v>0</v>
      </c>
      <c r="U39" s="122">
        <v>0</v>
      </c>
      <c r="V39" s="54">
        <f t="shared" si="1"/>
        <v>0</v>
      </c>
      <c r="W39" s="55">
        <v>100</v>
      </c>
      <c r="X39" s="55">
        <v>11.6</v>
      </c>
      <c r="Y39" s="125">
        <v>0</v>
      </c>
      <c r="Z39" s="125">
        <v>0</v>
      </c>
      <c r="AA39" s="125">
        <v>0</v>
      </c>
      <c r="AB39" s="125">
        <v>0</v>
      </c>
      <c r="AC39" s="125">
        <v>0</v>
      </c>
      <c r="AD39" s="126">
        <v>0</v>
      </c>
      <c r="AE39" s="55">
        <v>600</v>
      </c>
      <c r="AF39" s="55"/>
      <c r="AG39" s="125">
        <v>0</v>
      </c>
      <c r="AH39" s="125">
        <v>0</v>
      </c>
      <c r="AI39" s="125">
        <v>0</v>
      </c>
      <c r="AJ39" s="125">
        <v>0</v>
      </c>
      <c r="AK39" s="125">
        <v>0</v>
      </c>
      <c r="AL39" s="125">
        <v>0</v>
      </c>
      <c r="AM39" s="125">
        <v>0</v>
      </c>
      <c r="AN39" s="125">
        <v>0</v>
      </c>
      <c r="AO39" s="55"/>
      <c r="AP39" s="125">
        <v>0</v>
      </c>
      <c r="AQ39" s="125">
        <v>0</v>
      </c>
      <c r="AR39" s="125">
        <v>0</v>
      </c>
      <c r="AS39" s="125">
        <v>0</v>
      </c>
      <c r="AT39" s="125">
        <v>0</v>
      </c>
      <c r="AU39" s="125">
        <v>0</v>
      </c>
      <c r="AV39" s="125">
        <v>0</v>
      </c>
      <c r="AW39" s="125">
        <v>0</v>
      </c>
      <c r="AX39" s="53"/>
      <c r="AY39" s="56">
        <f t="shared" si="23"/>
        <v>0</v>
      </c>
      <c r="AZ39" s="56">
        <f t="shared" si="24"/>
        <v>0</v>
      </c>
      <c r="BA39" s="56">
        <f t="shared" si="25"/>
        <v>0</v>
      </c>
      <c r="BB39" s="56">
        <f t="shared" si="26"/>
        <v>0</v>
      </c>
      <c r="BC39" s="56">
        <f t="shared" si="27"/>
        <v>0</v>
      </c>
      <c r="BD39" s="56">
        <f t="shared" si="28"/>
        <v>0</v>
      </c>
      <c r="BE39" s="56">
        <f t="shared" si="29"/>
        <v>0</v>
      </c>
      <c r="BF39" s="56">
        <f t="shared" si="30"/>
        <v>0</v>
      </c>
      <c r="BG39" s="55"/>
      <c r="BH39" s="56">
        <f t="shared" si="31"/>
        <v>0</v>
      </c>
      <c r="BI39" s="56">
        <f t="shared" si="32"/>
        <v>0</v>
      </c>
      <c r="BJ39" s="56">
        <f t="shared" si="33"/>
        <v>0</v>
      </c>
      <c r="BK39" s="56">
        <f t="shared" si="34"/>
        <v>0</v>
      </c>
      <c r="BL39" s="56">
        <f t="shared" si="35"/>
        <v>0</v>
      </c>
      <c r="BM39" s="56">
        <f t="shared" si="36"/>
        <v>0</v>
      </c>
      <c r="BN39" s="56">
        <f t="shared" si="37"/>
        <v>0</v>
      </c>
      <c r="BO39" s="56">
        <f t="shared" si="38"/>
        <v>0</v>
      </c>
    </row>
    <row r="40" spans="1:67" ht="12.75" customHeight="1">
      <c r="A40" s="48" t="s">
        <v>165</v>
      </c>
      <c r="B40" s="49"/>
      <c r="C40" s="90">
        <f aca="true" t="shared" si="39" ref="C40:C73">D40*2000</f>
        <v>480</v>
      </c>
      <c r="D40" s="50">
        <v>0.24</v>
      </c>
      <c r="E40" s="121"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v>0</v>
      </c>
      <c r="M40" s="52">
        <v>7680</v>
      </c>
      <c r="N40" s="52">
        <v>7110</v>
      </c>
      <c r="O40" s="52">
        <v>7110</v>
      </c>
      <c r="P40" s="52">
        <v>8000</v>
      </c>
      <c r="Q40" s="52">
        <v>4925</v>
      </c>
      <c r="R40" s="121">
        <v>0</v>
      </c>
      <c r="S40" s="121">
        <v>0</v>
      </c>
      <c r="T40" s="121">
        <v>0</v>
      </c>
      <c r="U40" s="122">
        <v>0</v>
      </c>
      <c r="V40" s="54">
        <f aca="true" t="shared" si="40" ref="V40:V67">T40*U40</f>
        <v>0</v>
      </c>
      <c r="W40" s="55">
        <v>100</v>
      </c>
      <c r="X40" s="55">
        <v>3.1</v>
      </c>
      <c r="Y40" s="125">
        <v>0</v>
      </c>
      <c r="Z40" s="125">
        <v>0</v>
      </c>
      <c r="AA40" s="125">
        <v>0</v>
      </c>
      <c r="AB40" s="125">
        <v>0</v>
      </c>
      <c r="AC40" s="125">
        <v>0</v>
      </c>
      <c r="AD40" s="126">
        <v>0</v>
      </c>
      <c r="AE40" s="55">
        <v>440</v>
      </c>
      <c r="AF40" s="55"/>
      <c r="AG40" s="125">
        <v>0</v>
      </c>
      <c r="AH40" s="125">
        <v>0</v>
      </c>
      <c r="AI40" s="125">
        <v>0</v>
      </c>
      <c r="AJ40" s="125">
        <v>0</v>
      </c>
      <c r="AK40" s="125">
        <v>0</v>
      </c>
      <c r="AL40" s="125">
        <v>0</v>
      </c>
      <c r="AM40" s="125">
        <v>0</v>
      </c>
      <c r="AN40" s="125">
        <v>0</v>
      </c>
      <c r="AO40" s="55"/>
      <c r="AP40" s="125">
        <v>0</v>
      </c>
      <c r="AQ40" s="125">
        <v>0</v>
      </c>
      <c r="AR40" s="125">
        <v>0</v>
      </c>
      <c r="AS40" s="125">
        <v>0</v>
      </c>
      <c r="AT40" s="125">
        <v>0</v>
      </c>
      <c r="AU40" s="125">
        <v>0</v>
      </c>
      <c r="AV40" s="125">
        <v>0</v>
      </c>
      <c r="AW40" s="125">
        <v>0</v>
      </c>
      <c r="AX40" s="53"/>
      <c r="AY40" s="56">
        <f t="shared" si="23"/>
        <v>0</v>
      </c>
      <c r="AZ40" s="56">
        <f t="shared" si="24"/>
        <v>0</v>
      </c>
      <c r="BA40" s="56">
        <f t="shared" si="25"/>
        <v>0</v>
      </c>
      <c r="BB40" s="56">
        <f t="shared" si="26"/>
        <v>0</v>
      </c>
      <c r="BC40" s="56">
        <f t="shared" si="27"/>
        <v>0</v>
      </c>
      <c r="BD40" s="56">
        <f t="shared" si="28"/>
        <v>0</v>
      </c>
      <c r="BE40" s="56">
        <f t="shared" si="29"/>
        <v>0</v>
      </c>
      <c r="BF40" s="56">
        <f t="shared" si="30"/>
        <v>0</v>
      </c>
      <c r="BG40" s="55"/>
      <c r="BH40" s="56">
        <f t="shared" si="31"/>
        <v>0</v>
      </c>
      <c r="BI40" s="56">
        <f t="shared" si="32"/>
        <v>0</v>
      </c>
      <c r="BJ40" s="56">
        <f t="shared" si="33"/>
        <v>0</v>
      </c>
      <c r="BK40" s="56">
        <f t="shared" si="34"/>
        <v>0</v>
      </c>
      <c r="BL40" s="56">
        <f t="shared" si="35"/>
        <v>0</v>
      </c>
      <c r="BM40" s="56">
        <f t="shared" si="36"/>
        <v>0</v>
      </c>
      <c r="BN40" s="56">
        <f t="shared" si="37"/>
        <v>0</v>
      </c>
      <c r="BO40" s="56">
        <f t="shared" si="38"/>
        <v>0</v>
      </c>
    </row>
    <row r="41" spans="1:67" ht="12.75" customHeight="1">
      <c r="A41" s="48" t="s">
        <v>166</v>
      </c>
      <c r="B41" s="49"/>
      <c r="C41" s="90">
        <f t="shared" si="39"/>
        <v>420</v>
      </c>
      <c r="D41" s="50">
        <v>0.21</v>
      </c>
      <c r="E41" s="121"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v>0</v>
      </c>
      <c r="M41" s="52">
        <v>8205</v>
      </c>
      <c r="N41" s="52">
        <v>7110</v>
      </c>
      <c r="O41" s="52">
        <v>7110</v>
      </c>
      <c r="P41" s="52">
        <v>8550</v>
      </c>
      <c r="Q41" s="52">
        <v>5245</v>
      </c>
      <c r="R41" s="121">
        <v>0</v>
      </c>
      <c r="S41" s="121">
        <v>0</v>
      </c>
      <c r="T41" s="121">
        <v>0</v>
      </c>
      <c r="U41" s="122">
        <v>0</v>
      </c>
      <c r="V41" s="54">
        <f t="shared" si="40"/>
        <v>0</v>
      </c>
      <c r="W41" s="55">
        <v>100</v>
      </c>
      <c r="X41" s="55">
        <v>17.5</v>
      </c>
      <c r="Y41" s="125">
        <v>0</v>
      </c>
      <c r="Z41" s="125">
        <v>0</v>
      </c>
      <c r="AA41" s="125">
        <v>0</v>
      </c>
      <c r="AB41" s="125">
        <v>0</v>
      </c>
      <c r="AC41" s="125">
        <v>0</v>
      </c>
      <c r="AD41" s="126">
        <v>0</v>
      </c>
      <c r="AE41" s="55">
        <v>750</v>
      </c>
      <c r="AF41" s="55"/>
      <c r="AG41" s="125">
        <v>0</v>
      </c>
      <c r="AH41" s="125">
        <v>0</v>
      </c>
      <c r="AI41" s="125">
        <v>0</v>
      </c>
      <c r="AJ41" s="125">
        <v>0</v>
      </c>
      <c r="AK41" s="125">
        <v>0</v>
      </c>
      <c r="AL41" s="125">
        <v>0</v>
      </c>
      <c r="AM41" s="125">
        <v>0</v>
      </c>
      <c r="AN41" s="125">
        <v>0</v>
      </c>
      <c r="AO41" s="55"/>
      <c r="AP41" s="125">
        <v>0</v>
      </c>
      <c r="AQ41" s="125">
        <v>0</v>
      </c>
      <c r="AR41" s="125">
        <v>0</v>
      </c>
      <c r="AS41" s="125">
        <v>0</v>
      </c>
      <c r="AT41" s="125">
        <v>0</v>
      </c>
      <c r="AU41" s="125">
        <v>0</v>
      </c>
      <c r="AV41" s="125">
        <v>0</v>
      </c>
      <c r="AW41" s="125">
        <v>0</v>
      </c>
      <c r="AX41" s="53"/>
      <c r="AY41" s="56">
        <f t="shared" si="23"/>
        <v>0</v>
      </c>
      <c r="AZ41" s="56">
        <f t="shared" si="24"/>
        <v>0</v>
      </c>
      <c r="BA41" s="56">
        <f t="shared" si="25"/>
        <v>0</v>
      </c>
      <c r="BB41" s="56">
        <f t="shared" si="26"/>
        <v>0</v>
      </c>
      <c r="BC41" s="56">
        <f t="shared" si="27"/>
        <v>0</v>
      </c>
      <c r="BD41" s="56">
        <f t="shared" si="28"/>
        <v>0</v>
      </c>
      <c r="BE41" s="56">
        <f t="shared" si="29"/>
        <v>0</v>
      </c>
      <c r="BF41" s="56">
        <f t="shared" si="30"/>
        <v>0</v>
      </c>
      <c r="BG41" s="55"/>
      <c r="BH41" s="56">
        <f t="shared" si="31"/>
        <v>0</v>
      </c>
      <c r="BI41" s="56">
        <f t="shared" si="32"/>
        <v>0</v>
      </c>
      <c r="BJ41" s="56">
        <f t="shared" si="33"/>
        <v>0</v>
      </c>
      <c r="BK41" s="56">
        <f t="shared" si="34"/>
        <v>0</v>
      </c>
      <c r="BL41" s="56">
        <f t="shared" si="35"/>
        <v>0</v>
      </c>
      <c r="BM41" s="56">
        <f t="shared" si="36"/>
        <v>0</v>
      </c>
      <c r="BN41" s="56">
        <f t="shared" si="37"/>
        <v>0</v>
      </c>
      <c r="BO41" s="56">
        <f t="shared" si="38"/>
        <v>0</v>
      </c>
    </row>
    <row r="42" spans="1:67" ht="12.75" customHeight="1">
      <c r="A42" s="48" t="s">
        <v>167</v>
      </c>
      <c r="B42" s="49"/>
      <c r="C42" s="90">
        <f t="shared" si="39"/>
        <v>560</v>
      </c>
      <c r="D42" s="50">
        <v>0.28</v>
      </c>
      <c r="E42" s="121"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v>0</v>
      </c>
      <c r="M42" s="52">
        <v>8400</v>
      </c>
      <c r="N42" s="52">
        <v>7110</v>
      </c>
      <c r="O42" s="52">
        <v>7110</v>
      </c>
      <c r="P42" s="52">
        <v>8750</v>
      </c>
      <c r="Q42" s="52">
        <v>5360</v>
      </c>
      <c r="R42" s="121">
        <v>0</v>
      </c>
      <c r="S42" s="121">
        <v>0</v>
      </c>
      <c r="T42" s="121">
        <v>0</v>
      </c>
      <c r="U42" s="122">
        <v>0</v>
      </c>
      <c r="V42" s="54">
        <f t="shared" si="40"/>
        <v>0</v>
      </c>
      <c r="W42" s="55">
        <v>100</v>
      </c>
      <c r="X42" s="55">
        <v>51</v>
      </c>
      <c r="Y42" s="125">
        <v>0</v>
      </c>
      <c r="Z42" s="125">
        <v>0</v>
      </c>
      <c r="AA42" s="125">
        <v>0</v>
      </c>
      <c r="AB42" s="125">
        <v>0</v>
      </c>
      <c r="AC42" s="125">
        <v>0</v>
      </c>
      <c r="AD42" s="126">
        <v>0</v>
      </c>
      <c r="AE42" s="55">
        <v>1300</v>
      </c>
      <c r="AF42" s="55"/>
      <c r="AG42" s="125">
        <v>0</v>
      </c>
      <c r="AH42" s="125">
        <v>0</v>
      </c>
      <c r="AI42" s="125">
        <v>0</v>
      </c>
      <c r="AJ42" s="125">
        <v>0</v>
      </c>
      <c r="AK42" s="125">
        <v>0</v>
      </c>
      <c r="AL42" s="125">
        <v>0</v>
      </c>
      <c r="AM42" s="125">
        <v>0</v>
      </c>
      <c r="AN42" s="125">
        <v>0</v>
      </c>
      <c r="AO42" s="55"/>
      <c r="AP42" s="125">
        <v>0</v>
      </c>
      <c r="AQ42" s="125">
        <v>0</v>
      </c>
      <c r="AR42" s="125">
        <v>0</v>
      </c>
      <c r="AS42" s="125">
        <v>0</v>
      </c>
      <c r="AT42" s="125">
        <v>0</v>
      </c>
      <c r="AU42" s="125">
        <v>0</v>
      </c>
      <c r="AV42" s="125">
        <v>0</v>
      </c>
      <c r="AW42" s="125">
        <v>0</v>
      </c>
      <c r="AX42" s="53"/>
      <c r="AY42" s="56">
        <f t="shared" si="23"/>
        <v>0</v>
      </c>
      <c r="AZ42" s="56">
        <f t="shared" si="24"/>
        <v>0</v>
      </c>
      <c r="BA42" s="56">
        <f t="shared" si="25"/>
        <v>0</v>
      </c>
      <c r="BB42" s="56">
        <f t="shared" si="26"/>
        <v>0</v>
      </c>
      <c r="BC42" s="56">
        <f t="shared" si="27"/>
        <v>0</v>
      </c>
      <c r="BD42" s="56">
        <f t="shared" si="28"/>
        <v>0</v>
      </c>
      <c r="BE42" s="56">
        <f t="shared" si="29"/>
        <v>0</v>
      </c>
      <c r="BF42" s="56">
        <f t="shared" si="30"/>
        <v>0</v>
      </c>
      <c r="BG42" s="55"/>
      <c r="BH42" s="56">
        <f t="shared" si="31"/>
        <v>0</v>
      </c>
      <c r="BI42" s="56">
        <f t="shared" si="32"/>
        <v>0</v>
      </c>
      <c r="BJ42" s="56">
        <f t="shared" si="33"/>
        <v>0</v>
      </c>
      <c r="BK42" s="56">
        <f t="shared" si="34"/>
        <v>0</v>
      </c>
      <c r="BL42" s="56">
        <f t="shared" si="35"/>
        <v>0</v>
      </c>
      <c r="BM42" s="56">
        <f t="shared" si="36"/>
        <v>0</v>
      </c>
      <c r="BN42" s="56">
        <f t="shared" si="37"/>
        <v>0</v>
      </c>
      <c r="BO42" s="56">
        <f t="shared" si="38"/>
        <v>0</v>
      </c>
    </row>
    <row r="43" spans="1:67" ht="12.75">
      <c r="A43" s="81" t="s">
        <v>181</v>
      </c>
      <c r="B43" s="48"/>
      <c r="C43" s="90">
        <f t="shared" si="39"/>
        <v>720</v>
      </c>
      <c r="D43" s="50">
        <v>0.36</v>
      </c>
      <c r="E43" s="77">
        <v>7.26</v>
      </c>
      <c r="F43" s="77"/>
      <c r="G43" s="77"/>
      <c r="H43" s="77">
        <v>5.21</v>
      </c>
      <c r="I43" s="77"/>
      <c r="J43" s="77">
        <v>4.26</v>
      </c>
      <c r="K43" s="77"/>
      <c r="L43" s="77"/>
      <c r="M43" s="59"/>
      <c r="N43" s="59"/>
      <c r="O43" s="59"/>
      <c r="P43" s="59"/>
      <c r="Q43" s="59"/>
      <c r="R43" s="77"/>
      <c r="S43" s="77">
        <v>17</v>
      </c>
      <c r="T43" s="77">
        <v>6.6</v>
      </c>
      <c r="U43" s="53">
        <v>1</v>
      </c>
      <c r="V43" s="54">
        <f t="shared" si="40"/>
        <v>6.6</v>
      </c>
      <c r="W43" s="55">
        <v>1</v>
      </c>
      <c r="X43" s="55"/>
      <c r="Y43" s="55"/>
      <c r="Z43" s="55"/>
      <c r="AA43" s="55"/>
      <c r="AB43" s="55"/>
      <c r="AC43" s="55"/>
      <c r="AD43" s="55">
        <v>10460</v>
      </c>
      <c r="AE43" s="55"/>
      <c r="AF43" s="55"/>
      <c r="AG43" s="80">
        <v>1</v>
      </c>
      <c r="AH43" s="80"/>
      <c r="AI43" s="80"/>
      <c r="AJ43" s="80">
        <v>1</v>
      </c>
      <c r="AK43" s="80">
        <v>1</v>
      </c>
      <c r="AL43" s="80">
        <v>1</v>
      </c>
      <c r="AM43" s="80"/>
      <c r="AN43" s="80"/>
      <c r="AO43" s="55"/>
      <c r="AP43" s="80">
        <v>1</v>
      </c>
      <c r="AQ43" s="80"/>
      <c r="AR43" s="80"/>
      <c r="AS43" s="80">
        <v>1</v>
      </c>
      <c r="AT43" s="80"/>
      <c r="AU43" s="80">
        <v>1</v>
      </c>
      <c r="AV43" s="80"/>
      <c r="AW43" s="80"/>
      <c r="AX43" s="80"/>
      <c r="AY43" s="56">
        <f t="shared" si="23"/>
        <v>7.26</v>
      </c>
      <c r="AZ43" s="56">
        <f aca="true" t="shared" si="41" ref="AZ43:BF44">IF(F43="","",F43*AH43)</f>
      </c>
      <c r="BA43" s="56">
        <f t="shared" si="41"/>
      </c>
      <c r="BB43" s="56">
        <f t="shared" si="41"/>
        <v>5.21</v>
      </c>
      <c r="BC43" s="56">
        <f t="shared" si="41"/>
      </c>
      <c r="BD43" s="56">
        <f t="shared" si="41"/>
        <v>4.26</v>
      </c>
      <c r="BE43" s="56">
        <f t="shared" si="41"/>
      </c>
      <c r="BF43" s="56">
        <f t="shared" si="41"/>
      </c>
      <c r="BG43" s="55"/>
      <c r="BH43" s="56">
        <f t="shared" si="31"/>
        <v>7.26</v>
      </c>
      <c r="BI43" s="56">
        <f aca="true" t="shared" si="42" ref="BI43:BO44">IF(F43="","",F43*AQ43)</f>
      </c>
      <c r="BJ43" s="56">
        <f t="shared" si="42"/>
      </c>
      <c r="BK43" s="56">
        <f t="shared" si="42"/>
        <v>5.21</v>
      </c>
      <c r="BL43" s="56">
        <f t="shared" si="42"/>
      </c>
      <c r="BM43" s="56">
        <f t="shared" si="42"/>
        <v>4.26</v>
      </c>
      <c r="BN43" s="56">
        <f t="shared" si="42"/>
      </c>
      <c r="BO43" s="56">
        <f t="shared" si="42"/>
      </c>
    </row>
    <row r="44" spans="1:67" ht="12.75" customHeight="1">
      <c r="A44" s="48" t="s">
        <v>180</v>
      </c>
      <c r="B44" s="49"/>
      <c r="C44" s="90">
        <f t="shared" si="39"/>
        <v>440</v>
      </c>
      <c r="D44" s="50">
        <v>0.22</v>
      </c>
      <c r="E44" s="51">
        <v>5.24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v>0</v>
      </c>
      <c r="M44" s="52"/>
      <c r="N44" s="52"/>
      <c r="O44" s="52"/>
      <c r="P44" s="52"/>
      <c r="Q44" s="52"/>
      <c r="R44" s="51"/>
      <c r="S44" s="69">
        <v>21.5</v>
      </c>
      <c r="T44" s="69">
        <v>4.8</v>
      </c>
      <c r="U44" s="53">
        <v>1</v>
      </c>
      <c r="V44" s="54">
        <f t="shared" si="40"/>
        <v>4.8</v>
      </c>
      <c r="W44" s="55">
        <v>1</v>
      </c>
      <c r="X44" s="125">
        <v>0</v>
      </c>
      <c r="Y44" s="125">
        <v>0</v>
      </c>
      <c r="Z44" s="125">
        <v>0</v>
      </c>
      <c r="AA44" s="55"/>
      <c r="AB44" s="55"/>
      <c r="AC44" s="55"/>
      <c r="AD44" s="55">
        <v>8160</v>
      </c>
      <c r="AE44" s="109">
        <f>125*W44/10</f>
        <v>12.5</v>
      </c>
      <c r="AF44" s="55"/>
      <c r="AG44" s="53">
        <v>1</v>
      </c>
      <c r="AH44" s="125">
        <v>0</v>
      </c>
      <c r="AI44" s="125">
        <v>0</v>
      </c>
      <c r="AJ44" s="125">
        <v>0</v>
      </c>
      <c r="AK44" s="125">
        <v>0</v>
      </c>
      <c r="AL44" s="125">
        <v>0</v>
      </c>
      <c r="AM44" s="125">
        <v>0</v>
      </c>
      <c r="AN44" s="125">
        <v>0</v>
      </c>
      <c r="AO44" s="53"/>
      <c r="AP44" s="53">
        <v>1</v>
      </c>
      <c r="AQ44" s="125">
        <v>0</v>
      </c>
      <c r="AR44" s="125">
        <v>0</v>
      </c>
      <c r="AS44" s="125">
        <v>0</v>
      </c>
      <c r="AT44" s="125">
        <v>0</v>
      </c>
      <c r="AU44" s="125">
        <v>0</v>
      </c>
      <c r="AV44" s="125">
        <v>0</v>
      </c>
      <c r="AW44" s="125">
        <v>0</v>
      </c>
      <c r="AX44" s="53"/>
      <c r="AY44" s="56">
        <f t="shared" si="23"/>
        <v>5.24</v>
      </c>
      <c r="AZ44" s="56">
        <f t="shared" si="41"/>
        <v>0</v>
      </c>
      <c r="BA44" s="56">
        <f t="shared" si="41"/>
        <v>0</v>
      </c>
      <c r="BB44" s="56">
        <f t="shared" si="41"/>
        <v>0</v>
      </c>
      <c r="BC44" s="56">
        <f t="shared" si="41"/>
        <v>0</v>
      </c>
      <c r="BD44" s="56">
        <f t="shared" si="41"/>
        <v>0</v>
      </c>
      <c r="BE44" s="56">
        <f t="shared" si="41"/>
        <v>0</v>
      </c>
      <c r="BF44" s="56">
        <f t="shared" si="41"/>
        <v>0</v>
      </c>
      <c r="BG44" s="55"/>
      <c r="BH44" s="56">
        <f t="shared" si="31"/>
        <v>5.24</v>
      </c>
      <c r="BI44" s="56">
        <f t="shared" si="42"/>
        <v>0</v>
      </c>
      <c r="BJ44" s="56">
        <f t="shared" si="42"/>
        <v>0</v>
      </c>
      <c r="BK44" s="56">
        <f t="shared" si="42"/>
        <v>0</v>
      </c>
      <c r="BL44" s="56">
        <f t="shared" si="42"/>
        <v>0</v>
      </c>
      <c r="BM44" s="56">
        <f t="shared" si="42"/>
        <v>0</v>
      </c>
      <c r="BN44" s="56">
        <f t="shared" si="42"/>
        <v>0</v>
      </c>
      <c r="BO44" s="56">
        <f t="shared" si="42"/>
        <v>0</v>
      </c>
    </row>
    <row r="45" spans="1:67" ht="12.75" customHeight="1">
      <c r="A45" s="48" t="s">
        <v>95</v>
      </c>
      <c r="B45" s="49"/>
      <c r="C45" s="90">
        <f t="shared" si="39"/>
        <v>400</v>
      </c>
      <c r="D45" s="50">
        <v>0.2</v>
      </c>
      <c r="E45" s="51">
        <v>3.14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0</v>
      </c>
      <c r="L45" s="121">
        <v>0</v>
      </c>
      <c r="M45" s="52"/>
      <c r="N45" s="52"/>
      <c r="O45" s="52"/>
      <c r="P45" s="52"/>
      <c r="Q45" s="52"/>
      <c r="R45" s="51"/>
      <c r="S45" s="69">
        <v>19.6</v>
      </c>
      <c r="T45" s="69">
        <v>10</v>
      </c>
      <c r="U45" s="53">
        <v>1</v>
      </c>
      <c r="V45" s="54">
        <f t="shared" si="40"/>
        <v>10</v>
      </c>
      <c r="W45" s="55">
        <v>1</v>
      </c>
      <c r="X45" s="125">
        <v>0</v>
      </c>
      <c r="Y45" s="125">
        <v>0</v>
      </c>
      <c r="Z45" s="125">
        <v>0</v>
      </c>
      <c r="AA45" s="55"/>
      <c r="AB45" s="55"/>
      <c r="AC45" s="55"/>
      <c r="AD45" s="55"/>
      <c r="AE45" s="109">
        <f>125*W45/10</f>
        <v>12.5</v>
      </c>
      <c r="AF45" s="55"/>
      <c r="AG45" s="53">
        <v>1</v>
      </c>
      <c r="AH45" s="125">
        <v>0</v>
      </c>
      <c r="AI45" s="125">
        <v>0</v>
      </c>
      <c r="AJ45" s="125">
        <v>0</v>
      </c>
      <c r="AK45" s="125">
        <v>0</v>
      </c>
      <c r="AL45" s="125">
        <v>0</v>
      </c>
      <c r="AM45" s="125">
        <v>0</v>
      </c>
      <c r="AN45" s="125">
        <v>0</v>
      </c>
      <c r="AO45" s="53"/>
      <c r="AP45" s="53">
        <v>1</v>
      </c>
      <c r="AQ45" s="125">
        <v>0</v>
      </c>
      <c r="AR45" s="125">
        <v>0</v>
      </c>
      <c r="AS45" s="125">
        <v>0</v>
      </c>
      <c r="AT45" s="125">
        <v>0</v>
      </c>
      <c r="AU45" s="125">
        <v>0</v>
      </c>
      <c r="AV45" s="125">
        <v>0</v>
      </c>
      <c r="AW45" s="125">
        <v>0</v>
      </c>
      <c r="AX45" s="53"/>
      <c r="AY45" s="56">
        <f t="shared" si="23"/>
        <v>3.14</v>
      </c>
      <c r="AZ45" s="56">
        <f t="shared" si="24"/>
        <v>0</v>
      </c>
      <c r="BA45" s="56">
        <f t="shared" si="25"/>
        <v>0</v>
      </c>
      <c r="BB45" s="56">
        <f t="shared" si="26"/>
        <v>0</v>
      </c>
      <c r="BC45" s="56">
        <f t="shared" si="27"/>
        <v>0</v>
      </c>
      <c r="BD45" s="56">
        <f t="shared" si="28"/>
        <v>0</v>
      </c>
      <c r="BE45" s="56">
        <f t="shared" si="29"/>
        <v>0</v>
      </c>
      <c r="BF45" s="56">
        <f t="shared" si="30"/>
        <v>0</v>
      </c>
      <c r="BG45" s="55"/>
      <c r="BH45" s="56">
        <f t="shared" si="31"/>
        <v>3.14</v>
      </c>
      <c r="BI45" s="56">
        <f t="shared" si="32"/>
        <v>0</v>
      </c>
      <c r="BJ45" s="56">
        <f t="shared" si="33"/>
        <v>0</v>
      </c>
      <c r="BK45" s="56">
        <f t="shared" si="34"/>
        <v>0</v>
      </c>
      <c r="BL45" s="56">
        <f t="shared" si="35"/>
        <v>0</v>
      </c>
      <c r="BM45" s="56">
        <f t="shared" si="36"/>
        <v>0</v>
      </c>
      <c r="BN45" s="56">
        <f t="shared" si="37"/>
        <v>0</v>
      </c>
      <c r="BO45" s="56">
        <f t="shared" si="38"/>
        <v>0</v>
      </c>
    </row>
    <row r="46" spans="1:67" ht="12.75">
      <c r="A46" s="81" t="s">
        <v>182</v>
      </c>
      <c r="B46" s="48"/>
      <c r="C46" s="90">
        <f t="shared" si="39"/>
        <v>440</v>
      </c>
      <c r="D46" s="50">
        <v>0.22</v>
      </c>
      <c r="E46" s="77"/>
      <c r="F46" s="77"/>
      <c r="G46" s="77"/>
      <c r="H46" s="77"/>
      <c r="I46" s="77"/>
      <c r="J46" s="77"/>
      <c r="K46" s="77"/>
      <c r="L46" s="77"/>
      <c r="M46" s="59"/>
      <c r="N46" s="59"/>
      <c r="O46" s="59"/>
      <c r="P46" s="59"/>
      <c r="Q46" s="59"/>
      <c r="R46" s="77"/>
      <c r="S46" s="77">
        <v>21</v>
      </c>
      <c r="T46" s="77">
        <v>9.2</v>
      </c>
      <c r="U46" s="53">
        <v>1</v>
      </c>
      <c r="V46" s="54">
        <f t="shared" si="40"/>
        <v>9.2</v>
      </c>
      <c r="W46" s="55">
        <v>1</v>
      </c>
      <c r="X46" s="55"/>
      <c r="Y46" s="55"/>
      <c r="Z46" s="55"/>
      <c r="AA46" s="55"/>
      <c r="AB46" s="55"/>
      <c r="AC46" s="55"/>
      <c r="AD46" s="55">
        <f>8163*50/3*5/75</f>
        <v>9070</v>
      </c>
      <c r="AE46" s="55"/>
      <c r="AF46" s="55"/>
      <c r="AG46" s="80"/>
      <c r="AH46" s="80"/>
      <c r="AI46" s="80"/>
      <c r="AJ46" s="80"/>
      <c r="AK46" s="80"/>
      <c r="AL46" s="80"/>
      <c r="AM46" s="80"/>
      <c r="AN46" s="80"/>
      <c r="AO46" s="55"/>
      <c r="AP46" s="80"/>
      <c r="AQ46" s="80"/>
      <c r="AR46" s="80"/>
      <c r="AS46" s="80"/>
      <c r="AT46" s="80"/>
      <c r="AU46" s="80"/>
      <c r="AV46" s="80"/>
      <c r="AW46" s="80"/>
      <c r="AX46" s="80"/>
      <c r="AY46" s="56">
        <f t="shared" si="23"/>
      </c>
      <c r="AZ46" s="56">
        <f aca="true" t="shared" si="43" ref="AZ46:BF46">IF(F46="","",F46*AH46)</f>
      </c>
      <c r="BA46" s="56">
        <f t="shared" si="43"/>
      </c>
      <c r="BB46" s="56">
        <f t="shared" si="43"/>
      </c>
      <c r="BC46" s="56">
        <f t="shared" si="43"/>
      </c>
      <c r="BD46" s="56">
        <f t="shared" si="43"/>
      </c>
      <c r="BE46" s="56">
        <f t="shared" si="43"/>
      </c>
      <c r="BF46" s="56">
        <f t="shared" si="43"/>
      </c>
      <c r="BG46" s="55"/>
      <c r="BH46" s="56">
        <f t="shared" si="31"/>
      </c>
      <c r="BI46" s="56">
        <f aca="true" t="shared" si="44" ref="BI46:BO46">IF(F46="","",F46*AQ46)</f>
      </c>
      <c r="BJ46" s="56">
        <f t="shared" si="44"/>
      </c>
      <c r="BK46" s="56">
        <f t="shared" si="44"/>
      </c>
      <c r="BL46" s="56">
        <f t="shared" si="44"/>
      </c>
      <c r="BM46" s="56">
        <f t="shared" si="44"/>
      </c>
      <c r="BN46" s="56">
        <f t="shared" si="44"/>
      </c>
      <c r="BO46" s="56">
        <f t="shared" si="44"/>
      </c>
    </row>
    <row r="47" spans="1:67" ht="12.75" customHeight="1">
      <c r="A47" s="68" t="s">
        <v>40</v>
      </c>
      <c r="B47" s="57"/>
      <c r="C47" s="90">
        <f t="shared" si="39"/>
        <v>340</v>
      </c>
      <c r="D47" s="50">
        <v>0.17</v>
      </c>
      <c r="E47" s="121"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1">
        <v>0</v>
      </c>
      <c r="M47" s="123">
        <v>0</v>
      </c>
      <c r="N47" s="123">
        <v>0</v>
      </c>
      <c r="O47" s="123">
        <v>0</v>
      </c>
      <c r="P47" s="123">
        <v>0</v>
      </c>
      <c r="Q47" s="123">
        <v>0</v>
      </c>
      <c r="R47" s="121">
        <v>0</v>
      </c>
      <c r="S47" s="51">
        <v>21</v>
      </c>
      <c r="T47" s="51">
        <v>18.5</v>
      </c>
      <c r="U47" s="53">
        <v>1</v>
      </c>
      <c r="V47" s="54">
        <f t="shared" si="40"/>
        <v>18.5</v>
      </c>
      <c r="W47" s="125">
        <v>0</v>
      </c>
      <c r="X47" s="125">
        <v>0</v>
      </c>
      <c r="Y47" s="125">
        <v>0</v>
      </c>
      <c r="Z47" s="125">
        <v>0</v>
      </c>
      <c r="AA47" s="55">
        <v>0.18</v>
      </c>
      <c r="AB47" s="55">
        <v>0.47</v>
      </c>
      <c r="AC47" s="55">
        <v>0.15</v>
      </c>
      <c r="AD47" s="125">
        <v>0</v>
      </c>
      <c r="AE47" s="125">
        <v>0</v>
      </c>
      <c r="AF47" s="55"/>
      <c r="AG47" s="125">
        <v>0</v>
      </c>
      <c r="AH47" s="125">
        <v>0</v>
      </c>
      <c r="AI47" s="125">
        <v>0</v>
      </c>
      <c r="AJ47" s="125">
        <v>0</v>
      </c>
      <c r="AK47" s="125">
        <v>0</v>
      </c>
      <c r="AL47" s="125">
        <v>0</v>
      </c>
      <c r="AM47" s="125">
        <v>0</v>
      </c>
      <c r="AN47" s="125">
        <v>0</v>
      </c>
      <c r="AO47" s="55"/>
      <c r="AP47" s="125">
        <v>0</v>
      </c>
      <c r="AQ47" s="125">
        <v>0</v>
      </c>
      <c r="AR47" s="125">
        <v>0</v>
      </c>
      <c r="AS47" s="125">
        <v>0</v>
      </c>
      <c r="AT47" s="125">
        <v>0</v>
      </c>
      <c r="AU47" s="125">
        <v>0</v>
      </c>
      <c r="AV47" s="125">
        <v>0</v>
      </c>
      <c r="AW47" s="125">
        <v>0</v>
      </c>
      <c r="AX47" s="67"/>
      <c r="AY47" s="56">
        <f t="shared" si="23"/>
        <v>0</v>
      </c>
      <c r="AZ47" s="56">
        <f t="shared" si="24"/>
        <v>0</v>
      </c>
      <c r="BA47" s="56">
        <f t="shared" si="25"/>
        <v>0</v>
      </c>
      <c r="BB47" s="56">
        <f t="shared" si="26"/>
        <v>0</v>
      </c>
      <c r="BC47" s="56">
        <f t="shared" si="27"/>
        <v>0</v>
      </c>
      <c r="BD47" s="56">
        <f t="shared" si="28"/>
        <v>0</v>
      </c>
      <c r="BE47" s="56">
        <f t="shared" si="29"/>
        <v>0</v>
      </c>
      <c r="BF47" s="56">
        <f t="shared" si="30"/>
        <v>0</v>
      </c>
      <c r="BG47" s="55"/>
      <c r="BH47" s="56">
        <f t="shared" si="31"/>
        <v>0</v>
      </c>
      <c r="BI47" s="56">
        <f t="shared" si="32"/>
        <v>0</v>
      </c>
      <c r="BJ47" s="56">
        <f t="shared" si="33"/>
        <v>0</v>
      </c>
      <c r="BK47" s="56">
        <f t="shared" si="34"/>
        <v>0</v>
      </c>
      <c r="BL47" s="56">
        <f t="shared" si="35"/>
        <v>0</v>
      </c>
      <c r="BM47" s="56">
        <f t="shared" si="36"/>
        <v>0</v>
      </c>
      <c r="BN47" s="56">
        <f t="shared" si="37"/>
        <v>0</v>
      </c>
      <c r="BO47" s="56">
        <f t="shared" si="38"/>
        <v>0</v>
      </c>
    </row>
    <row r="48" spans="1:67" ht="12.75" customHeight="1">
      <c r="A48" s="68" t="s">
        <v>39</v>
      </c>
      <c r="B48" s="57"/>
      <c r="C48" s="90">
        <f t="shared" si="39"/>
        <v>650</v>
      </c>
      <c r="D48" s="50">
        <f>Calculator!E7/2000</f>
        <v>0.325</v>
      </c>
      <c r="E48" s="121"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v>0</v>
      </c>
      <c r="M48" s="123">
        <v>0</v>
      </c>
      <c r="N48" s="123">
        <v>0</v>
      </c>
      <c r="O48" s="123">
        <v>0</v>
      </c>
      <c r="P48" s="123">
        <v>0</v>
      </c>
      <c r="Q48" s="123">
        <v>0</v>
      </c>
      <c r="R48" s="121">
        <v>0</v>
      </c>
      <c r="S48" s="51">
        <v>18.5</v>
      </c>
      <c r="T48" s="51">
        <v>21</v>
      </c>
      <c r="U48" s="53">
        <v>1</v>
      </c>
      <c r="V48" s="54">
        <f t="shared" si="40"/>
        <v>21</v>
      </c>
      <c r="W48" s="125">
        <v>0</v>
      </c>
      <c r="X48" s="125">
        <v>0</v>
      </c>
      <c r="Y48" s="125">
        <v>0</v>
      </c>
      <c r="Z48" s="125">
        <v>0</v>
      </c>
      <c r="AA48" s="55">
        <v>0.2</v>
      </c>
      <c r="AB48" s="108">
        <v>0.47</v>
      </c>
      <c r="AC48" s="55">
        <v>0.16</v>
      </c>
      <c r="AD48" s="125">
        <v>0</v>
      </c>
      <c r="AE48" s="125">
        <v>0</v>
      </c>
      <c r="AF48" s="55"/>
      <c r="AG48" s="125">
        <v>0</v>
      </c>
      <c r="AH48" s="125">
        <v>0</v>
      </c>
      <c r="AI48" s="125">
        <v>0</v>
      </c>
      <c r="AJ48" s="125">
        <v>0</v>
      </c>
      <c r="AK48" s="125">
        <v>0</v>
      </c>
      <c r="AL48" s="125">
        <v>0</v>
      </c>
      <c r="AM48" s="125">
        <v>0</v>
      </c>
      <c r="AN48" s="125">
        <v>0</v>
      </c>
      <c r="AO48" s="55"/>
      <c r="AP48" s="125">
        <v>0</v>
      </c>
      <c r="AQ48" s="125">
        <v>0</v>
      </c>
      <c r="AR48" s="125">
        <v>0</v>
      </c>
      <c r="AS48" s="125">
        <v>0</v>
      </c>
      <c r="AT48" s="125">
        <v>0</v>
      </c>
      <c r="AU48" s="125">
        <v>0</v>
      </c>
      <c r="AV48" s="125">
        <v>0</v>
      </c>
      <c r="AW48" s="125">
        <v>0</v>
      </c>
      <c r="AX48" s="67"/>
      <c r="AY48" s="56">
        <f t="shared" si="23"/>
        <v>0</v>
      </c>
      <c r="AZ48" s="56">
        <f t="shared" si="24"/>
        <v>0</v>
      </c>
      <c r="BA48" s="56">
        <f t="shared" si="25"/>
        <v>0</v>
      </c>
      <c r="BB48" s="56">
        <f t="shared" si="26"/>
        <v>0</v>
      </c>
      <c r="BC48" s="56">
        <f t="shared" si="27"/>
        <v>0</v>
      </c>
      <c r="BD48" s="56">
        <f t="shared" si="28"/>
        <v>0</v>
      </c>
      <c r="BE48" s="56">
        <f t="shared" si="29"/>
        <v>0</v>
      </c>
      <c r="BF48" s="56">
        <f t="shared" si="30"/>
        <v>0</v>
      </c>
      <c r="BG48" s="55"/>
      <c r="BH48" s="56">
        <f t="shared" si="31"/>
        <v>0</v>
      </c>
      <c r="BI48" s="56">
        <f t="shared" si="32"/>
        <v>0</v>
      </c>
      <c r="BJ48" s="56">
        <f t="shared" si="33"/>
        <v>0</v>
      </c>
      <c r="BK48" s="56">
        <f t="shared" si="34"/>
        <v>0</v>
      </c>
      <c r="BL48" s="56">
        <f t="shared" si="35"/>
        <v>0</v>
      </c>
      <c r="BM48" s="56">
        <f t="shared" si="36"/>
        <v>0</v>
      </c>
      <c r="BN48" s="56">
        <f t="shared" si="37"/>
        <v>0</v>
      </c>
      <c r="BO48" s="56">
        <f t="shared" si="38"/>
        <v>0</v>
      </c>
    </row>
    <row r="49" spans="1:67" ht="12.75" customHeight="1">
      <c r="A49" s="48" t="s">
        <v>10</v>
      </c>
      <c r="B49" s="49"/>
      <c r="C49" s="90">
        <f t="shared" si="39"/>
        <v>55</v>
      </c>
      <c r="D49" s="50">
        <f>Calculator!E8/2000</f>
        <v>0.0275</v>
      </c>
      <c r="E49" s="121"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v>0</v>
      </c>
      <c r="M49" s="123">
        <v>0</v>
      </c>
      <c r="N49" s="123">
        <v>0</v>
      </c>
      <c r="O49" s="123">
        <v>0</v>
      </c>
      <c r="P49" s="123">
        <v>0</v>
      </c>
      <c r="Q49" s="123">
        <v>0</v>
      </c>
      <c r="R49" s="121">
        <v>0</v>
      </c>
      <c r="S49" s="51">
        <v>38</v>
      </c>
      <c r="T49" s="124">
        <v>0</v>
      </c>
      <c r="U49" s="122">
        <v>0</v>
      </c>
      <c r="V49" s="54">
        <f t="shared" si="40"/>
        <v>0</v>
      </c>
      <c r="W49" s="125">
        <v>0</v>
      </c>
      <c r="X49" s="125">
        <v>0</v>
      </c>
      <c r="Y49" s="125">
        <v>0</v>
      </c>
      <c r="Z49" s="125">
        <v>0</v>
      </c>
      <c r="AA49" s="55">
        <v>0.08</v>
      </c>
      <c r="AB49" s="55">
        <v>0.02</v>
      </c>
      <c r="AC49" s="55">
        <v>0.08</v>
      </c>
      <c r="AD49" s="125">
        <v>0</v>
      </c>
      <c r="AE49" s="125">
        <v>0</v>
      </c>
      <c r="AF49" s="55"/>
      <c r="AG49" s="125">
        <v>0</v>
      </c>
      <c r="AH49" s="125">
        <v>0</v>
      </c>
      <c r="AI49" s="125">
        <v>0</v>
      </c>
      <c r="AJ49" s="125">
        <v>0</v>
      </c>
      <c r="AK49" s="125">
        <v>0</v>
      </c>
      <c r="AL49" s="125">
        <v>0</v>
      </c>
      <c r="AM49" s="125">
        <v>0</v>
      </c>
      <c r="AN49" s="125">
        <v>0</v>
      </c>
      <c r="AO49" s="55"/>
      <c r="AP49" s="125">
        <v>0</v>
      </c>
      <c r="AQ49" s="125">
        <v>0</v>
      </c>
      <c r="AR49" s="125">
        <v>0</v>
      </c>
      <c r="AS49" s="125">
        <v>0</v>
      </c>
      <c r="AT49" s="125">
        <v>0</v>
      </c>
      <c r="AU49" s="125">
        <v>0</v>
      </c>
      <c r="AV49" s="125">
        <v>0</v>
      </c>
      <c r="AW49" s="125">
        <v>0</v>
      </c>
      <c r="AX49" s="53"/>
      <c r="AY49" s="56">
        <f t="shared" si="23"/>
        <v>0</v>
      </c>
      <c r="AZ49" s="56">
        <f t="shared" si="24"/>
        <v>0</v>
      </c>
      <c r="BA49" s="56">
        <f t="shared" si="25"/>
        <v>0</v>
      </c>
      <c r="BB49" s="56">
        <f t="shared" si="26"/>
        <v>0</v>
      </c>
      <c r="BC49" s="56">
        <f t="shared" si="27"/>
        <v>0</v>
      </c>
      <c r="BD49" s="56">
        <f t="shared" si="28"/>
        <v>0</v>
      </c>
      <c r="BE49" s="56">
        <f t="shared" si="29"/>
        <v>0</v>
      </c>
      <c r="BF49" s="56">
        <f t="shared" si="30"/>
        <v>0</v>
      </c>
      <c r="BG49" s="55"/>
      <c r="BH49" s="56">
        <f t="shared" si="31"/>
        <v>0</v>
      </c>
      <c r="BI49" s="56">
        <f t="shared" si="32"/>
        <v>0</v>
      </c>
      <c r="BJ49" s="56">
        <f t="shared" si="33"/>
        <v>0</v>
      </c>
      <c r="BK49" s="56">
        <f t="shared" si="34"/>
        <v>0</v>
      </c>
      <c r="BL49" s="56">
        <f t="shared" si="35"/>
        <v>0</v>
      </c>
      <c r="BM49" s="56">
        <f t="shared" si="36"/>
        <v>0</v>
      </c>
      <c r="BN49" s="56">
        <f t="shared" si="37"/>
        <v>0</v>
      </c>
      <c r="BO49" s="56">
        <f t="shared" si="38"/>
        <v>0</v>
      </c>
    </row>
    <row r="50" spans="1:67" ht="12.75" customHeight="1">
      <c r="A50" s="48" t="s">
        <v>28</v>
      </c>
      <c r="B50" s="49"/>
      <c r="C50" s="90">
        <f t="shared" si="39"/>
        <v>70</v>
      </c>
      <c r="D50" s="50">
        <v>0.035</v>
      </c>
      <c r="E50" s="121"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0</v>
      </c>
      <c r="L50" s="121">
        <v>0</v>
      </c>
      <c r="M50" s="123">
        <v>0</v>
      </c>
      <c r="N50" s="123">
        <v>0</v>
      </c>
      <c r="O50" s="123">
        <v>0</v>
      </c>
      <c r="P50" s="123">
        <v>0</v>
      </c>
      <c r="Q50" s="123">
        <v>0</v>
      </c>
      <c r="R50" s="121">
        <v>0</v>
      </c>
      <c r="S50" s="124">
        <v>0</v>
      </c>
      <c r="T50" s="124">
        <v>0</v>
      </c>
      <c r="U50" s="122">
        <v>0</v>
      </c>
      <c r="V50" s="54">
        <f t="shared" si="40"/>
        <v>0</v>
      </c>
      <c r="W50" s="125">
        <v>0</v>
      </c>
      <c r="X50" s="125">
        <v>0</v>
      </c>
      <c r="Y50" s="125">
        <v>0</v>
      </c>
      <c r="Z50" s="125">
        <v>0</v>
      </c>
      <c r="AA50" s="55">
        <v>39.5</v>
      </c>
      <c r="AB50" s="55">
        <v>59</v>
      </c>
      <c r="AC50" s="125">
        <v>0</v>
      </c>
      <c r="AD50" s="125">
        <v>0</v>
      </c>
      <c r="AE50" s="125">
        <v>0</v>
      </c>
      <c r="AF50" s="55"/>
      <c r="AG50" s="125">
        <v>0</v>
      </c>
      <c r="AH50" s="125">
        <v>0</v>
      </c>
      <c r="AI50" s="125">
        <v>0</v>
      </c>
      <c r="AJ50" s="125">
        <v>0</v>
      </c>
      <c r="AK50" s="125">
        <v>0</v>
      </c>
      <c r="AL50" s="125">
        <v>0</v>
      </c>
      <c r="AM50" s="125">
        <v>0</v>
      </c>
      <c r="AN50" s="125">
        <v>0</v>
      </c>
      <c r="AO50" s="55"/>
      <c r="AP50" s="125">
        <v>0</v>
      </c>
      <c r="AQ50" s="125">
        <v>0</v>
      </c>
      <c r="AR50" s="125">
        <v>0</v>
      </c>
      <c r="AS50" s="125">
        <v>0</v>
      </c>
      <c r="AT50" s="125">
        <v>0</v>
      </c>
      <c r="AU50" s="125">
        <v>0</v>
      </c>
      <c r="AV50" s="125">
        <v>0</v>
      </c>
      <c r="AW50" s="125">
        <v>0</v>
      </c>
      <c r="AX50" s="67"/>
      <c r="AY50" s="56">
        <f t="shared" si="23"/>
        <v>0</v>
      </c>
      <c r="AZ50" s="56">
        <f t="shared" si="24"/>
        <v>0</v>
      </c>
      <c r="BA50" s="56">
        <f t="shared" si="25"/>
        <v>0</v>
      </c>
      <c r="BB50" s="56">
        <f t="shared" si="26"/>
        <v>0</v>
      </c>
      <c r="BC50" s="56">
        <f t="shared" si="27"/>
        <v>0</v>
      </c>
      <c r="BD50" s="56">
        <f t="shared" si="28"/>
        <v>0</v>
      </c>
      <c r="BE50" s="56">
        <f t="shared" si="29"/>
        <v>0</v>
      </c>
      <c r="BF50" s="56">
        <f t="shared" si="30"/>
        <v>0</v>
      </c>
      <c r="BG50" s="55"/>
      <c r="BH50" s="56">
        <f t="shared" si="31"/>
        <v>0</v>
      </c>
      <c r="BI50" s="56">
        <f t="shared" si="32"/>
        <v>0</v>
      </c>
      <c r="BJ50" s="56">
        <f t="shared" si="33"/>
        <v>0</v>
      </c>
      <c r="BK50" s="56">
        <f t="shared" si="34"/>
        <v>0</v>
      </c>
      <c r="BL50" s="56">
        <f t="shared" si="35"/>
        <v>0</v>
      </c>
      <c r="BM50" s="56">
        <f t="shared" si="36"/>
        <v>0</v>
      </c>
      <c r="BN50" s="56">
        <f t="shared" si="37"/>
        <v>0</v>
      </c>
      <c r="BO50" s="56">
        <f t="shared" si="38"/>
        <v>0</v>
      </c>
    </row>
    <row r="51" spans="1:67" ht="12.75" customHeight="1">
      <c r="A51" s="48" t="s">
        <v>47</v>
      </c>
      <c r="B51" s="49"/>
      <c r="C51" s="90">
        <f t="shared" si="39"/>
        <v>2000</v>
      </c>
      <c r="D51" s="50">
        <v>1</v>
      </c>
      <c r="E51" s="121"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0</v>
      </c>
      <c r="L51" s="121">
        <v>0</v>
      </c>
      <c r="M51" s="123">
        <v>0</v>
      </c>
      <c r="N51" s="123">
        <v>0</v>
      </c>
      <c r="O51" s="123">
        <v>0</v>
      </c>
      <c r="P51" s="123">
        <v>0</v>
      </c>
      <c r="Q51" s="123">
        <v>0</v>
      </c>
      <c r="R51" s="121">
        <v>0</v>
      </c>
      <c r="S51" s="124">
        <v>0</v>
      </c>
      <c r="T51" s="124">
        <v>0</v>
      </c>
      <c r="U51" s="122">
        <v>0</v>
      </c>
      <c r="V51" s="54">
        <f t="shared" si="40"/>
        <v>0</v>
      </c>
      <c r="W51" s="125">
        <v>0</v>
      </c>
      <c r="X51" s="125">
        <v>0</v>
      </c>
      <c r="Y51" s="125">
        <v>0</v>
      </c>
      <c r="Z51" s="125">
        <v>0</v>
      </c>
      <c r="AA51" s="125">
        <v>0</v>
      </c>
      <c r="AB51" s="125">
        <v>0</v>
      </c>
      <c r="AC51" s="125">
        <v>0</v>
      </c>
      <c r="AD51" s="125">
        <v>0</v>
      </c>
      <c r="AE51" s="125">
        <v>0</v>
      </c>
      <c r="AF51" s="55"/>
      <c r="AG51" s="125">
        <v>0</v>
      </c>
      <c r="AH51" s="125">
        <v>0</v>
      </c>
      <c r="AI51" s="125">
        <v>0</v>
      </c>
      <c r="AJ51" s="125">
        <v>0</v>
      </c>
      <c r="AK51" s="125">
        <v>0</v>
      </c>
      <c r="AL51" s="125">
        <v>0</v>
      </c>
      <c r="AM51" s="125">
        <v>0</v>
      </c>
      <c r="AN51" s="125">
        <v>0</v>
      </c>
      <c r="AO51" s="55"/>
      <c r="AP51" s="125">
        <v>0</v>
      </c>
      <c r="AQ51" s="125">
        <v>0</v>
      </c>
      <c r="AR51" s="125">
        <v>0</v>
      </c>
      <c r="AS51" s="125">
        <v>0</v>
      </c>
      <c r="AT51" s="125">
        <v>0</v>
      </c>
      <c r="AU51" s="125">
        <v>0</v>
      </c>
      <c r="AV51" s="125">
        <v>0</v>
      </c>
      <c r="AW51" s="125">
        <v>0</v>
      </c>
      <c r="AX51" s="67"/>
      <c r="AY51" s="56">
        <f t="shared" si="23"/>
        <v>0</v>
      </c>
      <c r="AZ51" s="56">
        <f t="shared" si="24"/>
        <v>0</v>
      </c>
      <c r="BA51" s="56">
        <f t="shared" si="25"/>
        <v>0</v>
      </c>
      <c r="BB51" s="56">
        <f t="shared" si="26"/>
        <v>0</v>
      </c>
      <c r="BC51" s="56">
        <f t="shared" si="27"/>
        <v>0</v>
      </c>
      <c r="BD51" s="56">
        <f t="shared" si="28"/>
        <v>0</v>
      </c>
      <c r="BE51" s="56">
        <f t="shared" si="29"/>
        <v>0</v>
      </c>
      <c r="BF51" s="56">
        <f t="shared" si="30"/>
        <v>0</v>
      </c>
      <c r="BG51" s="55"/>
      <c r="BH51" s="56">
        <f t="shared" si="31"/>
        <v>0</v>
      </c>
      <c r="BI51" s="56">
        <f t="shared" si="32"/>
        <v>0</v>
      </c>
      <c r="BJ51" s="56">
        <f t="shared" si="33"/>
        <v>0</v>
      </c>
      <c r="BK51" s="56">
        <f t="shared" si="34"/>
        <v>0</v>
      </c>
      <c r="BL51" s="56">
        <f t="shared" si="35"/>
        <v>0</v>
      </c>
      <c r="BM51" s="56">
        <f t="shared" si="36"/>
        <v>0</v>
      </c>
      <c r="BN51" s="56">
        <f t="shared" si="37"/>
        <v>0</v>
      </c>
      <c r="BO51" s="56">
        <f t="shared" si="38"/>
        <v>0</v>
      </c>
    </row>
    <row r="52" spans="1:67" ht="12.75" customHeight="1">
      <c r="A52" s="48" t="s">
        <v>152</v>
      </c>
      <c r="B52" s="49"/>
      <c r="C52" s="90">
        <f t="shared" si="39"/>
        <v>2000</v>
      </c>
      <c r="D52" s="50">
        <v>1</v>
      </c>
      <c r="E52" s="121"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0</v>
      </c>
      <c r="L52" s="121">
        <v>0</v>
      </c>
      <c r="M52" s="123">
        <v>0</v>
      </c>
      <c r="N52" s="123">
        <v>0</v>
      </c>
      <c r="O52" s="123">
        <v>0</v>
      </c>
      <c r="P52" s="123">
        <v>0</v>
      </c>
      <c r="Q52" s="123">
        <v>0</v>
      </c>
      <c r="R52" s="121">
        <v>0</v>
      </c>
      <c r="S52" s="124">
        <v>0</v>
      </c>
      <c r="T52" s="124">
        <v>0</v>
      </c>
      <c r="U52" s="122">
        <v>0</v>
      </c>
      <c r="V52" s="54">
        <f t="shared" si="40"/>
        <v>0</v>
      </c>
      <c r="W52" s="125">
        <v>0</v>
      </c>
      <c r="X52" s="125">
        <v>0</v>
      </c>
      <c r="Y52" s="125">
        <v>0</v>
      </c>
      <c r="Z52" s="125">
        <v>0</v>
      </c>
      <c r="AA52" s="125">
        <v>0</v>
      </c>
      <c r="AB52" s="125">
        <v>0</v>
      </c>
      <c r="AC52" s="125">
        <v>0</v>
      </c>
      <c r="AD52" s="125">
        <v>0</v>
      </c>
      <c r="AE52" s="125">
        <v>0</v>
      </c>
      <c r="AF52" s="55"/>
      <c r="AG52" s="125">
        <v>0</v>
      </c>
      <c r="AH52" s="125">
        <v>0</v>
      </c>
      <c r="AI52" s="125">
        <v>0</v>
      </c>
      <c r="AJ52" s="125">
        <v>0</v>
      </c>
      <c r="AK52" s="125">
        <v>0</v>
      </c>
      <c r="AL52" s="125">
        <v>0</v>
      </c>
      <c r="AM52" s="125">
        <v>0</v>
      </c>
      <c r="AN52" s="125">
        <v>0</v>
      </c>
      <c r="AO52" s="55"/>
      <c r="AP52" s="125">
        <v>0</v>
      </c>
      <c r="AQ52" s="125">
        <v>0</v>
      </c>
      <c r="AR52" s="125">
        <v>0</v>
      </c>
      <c r="AS52" s="125">
        <v>0</v>
      </c>
      <c r="AT52" s="125">
        <v>0</v>
      </c>
      <c r="AU52" s="125">
        <v>0</v>
      </c>
      <c r="AV52" s="125">
        <v>0</v>
      </c>
      <c r="AW52" s="125">
        <v>0</v>
      </c>
      <c r="AX52" s="67"/>
      <c r="AY52" s="56">
        <f t="shared" si="23"/>
        <v>0</v>
      </c>
      <c r="AZ52" s="56">
        <f t="shared" si="24"/>
        <v>0</v>
      </c>
      <c r="BA52" s="56">
        <f t="shared" si="25"/>
        <v>0</v>
      </c>
      <c r="BB52" s="56">
        <f t="shared" si="26"/>
        <v>0</v>
      </c>
      <c r="BC52" s="56">
        <f t="shared" si="27"/>
        <v>0</v>
      </c>
      <c r="BD52" s="56">
        <f t="shared" si="28"/>
        <v>0</v>
      </c>
      <c r="BE52" s="56">
        <f t="shared" si="29"/>
        <v>0</v>
      </c>
      <c r="BF52" s="56">
        <f t="shared" si="30"/>
        <v>0</v>
      </c>
      <c r="BG52" s="55"/>
      <c r="BH52" s="56">
        <f t="shared" si="31"/>
        <v>0</v>
      </c>
      <c r="BI52" s="56">
        <f t="shared" si="32"/>
        <v>0</v>
      </c>
      <c r="BJ52" s="56">
        <f t="shared" si="33"/>
        <v>0</v>
      </c>
      <c r="BK52" s="56">
        <f t="shared" si="34"/>
        <v>0</v>
      </c>
      <c r="BL52" s="56">
        <f t="shared" si="35"/>
        <v>0</v>
      </c>
      <c r="BM52" s="56">
        <f t="shared" si="36"/>
        <v>0</v>
      </c>
      <c r="BN52" s="56">
        <f t="shared" si="37"/>
        <v>0</v>
      </c>
      <c r="BO52" s="56">
        <f t="shared" si="38"/>
        <v>0</v>
      </c>
    </row>
    <row r="53" spans="1:67" ht="12.75" customHeight="1">
      <c r="A53" s="48" t="s">
        <v>88</v>
      </c>
      <c r="B53" s="49"/>
      <c r="C53" s="90">
        <f t="shared" si="39"/>
        <v>350</v>
      </c>
      <c r="D53" s="50">
        <v>0.175</v>
      </c>
      <c r="E53" s="121">
        <v>0</v>
      </c>
      <c r="F53" s="121">
        <v>0</v>
      </c>
      <c r="G53" s="121">
        <v>0</v>
      </c>
      <c r="H53" s="121">
        <v>0</v>
      </c>
      <c r="I53" s="121">
        <v>0</v>
      </c>
      <c r="J53" s="121">
        <v>0</v>
      </c>
      <c r="K53" s="121">
        <v>0</v>
      </c>
      <c r="L53" s="121">
        <v>0</v>
      </c>
      <c r="M53" s="123">
        <v>0</v>
      </c>
      <c r="N53" s="123">
        <v>0</v>
      </c>
      <c r="O53" s="123">
        <v>0</v>
      </c>
      <c r="P53" s="123">
        <v>0</v>
      </c>
      <c r="Q53" s="123">
        <v>0</v>
      </c>
      <c r="R53" s="121">
        <v>0</v>
      </c>
      <c r="S53" s="124">
        <v>0</v>
      </c>
      <c r="T53" s="124">
        <v>0</v>
      </c>
      <c r="U53" s="53">
        <v>1</v>
      </c>
      <c r="V53" s="54">
        <f t="shared" si="40"/>
        <v>0</v>
      </c>
      <c r="W53" s="125">
        <v>0</v>
      </c>
      <c r="X53" s="125">
        <v>0</v>
      </c>
      <c r="Y53" s="125">
        <v>0</v>
      </c>
      <c r="Z53" s="125">
        <v>0</v>
      </c>
      <c r="AA53" s="125">
        <v>0</v>
      </c>
      <c r="AB53" s="55">
        <v>46.93</v>
      </c>
      <c r="AC53" s="55">
        <v>51.37</v>
      </c>
      <c r="AD53" s="125">
        <v>0</v>
      </c>
      <c r="AE53" s="125">
        <v>0</v>
      </c>
      <c r="AF53" s="55"/>
      <c r="AG53" s="125">
        <v>0</v>
      </c>
      <c r="AH53" s="125">
        <v>0</v>
      </c>
      <c r="AI53" s="125">
        <v>0</v>
      </c>
      <c r="AJ53" s="125">
        <v>0</v>
      </c>
      <c r="AK53" s="125">
        <v>0</v>
      </c>
      <c r="AL53" s="125">
        <v>0</v>
      </c>
      <c r="AM53" s="125">
        <v>0</v>
      </c>
      <c r="AN53" s="125">
        <v>0</v>
      </c>
      <c r="AO53" s="55"/>
      <c r="AP53" s="125">
        <v>0</v>
      </c>
      <c r="AQ53" s="125">
        <v>0</v>
      </c>
      <c r="AR53" s="125">
        <v>0</v>
      </c>
      <c r="AS53" s="125">
        <v>0</v>
      </c>
      <c r="AT53" s="125">
        <v>0</v>
      </c>
      <c r="AU53" s="125">
        <v>0</v>
      </c>
      <c r="AV53" s="125">
        <v>0</v>
      </c>
      <c r="AW53" s="125">
        <v>0</v>
      </c>
      <c r="AX53" s="67"/>
      <c r="AY53" s="56">
        <f t="shared" si="23"/>
        <v>0</v>
      </c>
      <c r="AZ53" s="56">
        <f t="shared" si="24"/>
        <v>0</v>
      </c>
      <c r="BA53" s="56">
        <f t="shared" si="25"/>
        <v>0</v>
      </c>
      <c r="BB53" s="56">
        <f t="shared" si="26"/>
        <v>0</v>
      </c>
      <c r="BC53" s="56">
        <f t="shared" si="27"/>
        <v>0</v>
      </c>
      <c r="BD53" s="56">
        <f t="shared" si="28"/>
        <v>0</v>
      </c>
      <c r="BE53" s="56">
        <f t="shared" si="29"/>
        <v>0</v>
      </c>
      <c r="BF53" s="56">
        <f t="shared" si="30"/>
        <v>0</v>
      </c>
      <c r="BG53" s="55"/>
      <c r="BH53" s="56">
        <f t="shared" si="31"/>
        <v>0</v>
      </c>
      <c r="BI53" s="56">
        <f t="shared" si="32"/>
        <v>0</v>
      </c>
      <c r="BJ53" s="56">
        <f t="shared" si="33"/>
        <v>0</v>
      </c>
      <c r="BK53" s="56">
        <f t="shared" si="34"/>
        <v>0</v>
      </c>
      <c r="BL53" s="56">
        <f t="shared" si="35"/>
        <v>0</v>
      </c>
      <c r="BM53" s="56">
        <f t="shared" si="36"/>
        <v>0</v>
      </c>
      <c r="BN53" s="56">
        <f t="shared" si="37"/>
        <v>0</v>
      </c>
      <c r="BO53" s="56">
        <f t="shared" si="38"/>
        <v>0</v>
      </c>
    </row>
    <row r="54" spans="1:67" ht="12.75" customHeight="1">
      <c r="A54" s="48" t="s">
        <v>87</v>
      </c>
      <c r="B54" s="49"/>
      <c r="C54" s="90">
        <f t="shared" si="39"/>
        <v>400</v>
      </c>
      <c r="D54" s="50">
        <v>0.2</v>
      </c>
      <c r="E54" s="121"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0</v>
      </c>
      <c r="L54" s="121">
        <v>0</v>
      </c>
      <c r="M54" s="123">
        <v>0</v>
      </c>
      <c r="N54" s="123">
        <v>0</v>
      </c>
      <c r="O54" s="123">
        <v>0</v>
      </c>
      <c r="P54" s="123">
        <v>0</v>
      </c>
      <c r="Q54" s="123">
        <v>0</v>
      </c>
      <c r="R54" s="121">
        <v>0</v>
      </c>
      <c r="S54" s="69">
        <v>27.26</v>
      </c>
      <c r="T54" s="124">
        <v>0</v>
      </c>
      <c r="U54" s="53">
        <v>1</v>
      </c>
      <c r="V54" s="54">
        <f t="shared" si="40"/>
        <v>0</v>
      </c>
      <c r="W54" s="125">
        <v>0</v>
      </c>
      <c r="X54" s="125">
        <v>0</v>
      </c>
      <c r="Y54" s="125">
        <v>0</v>
      </c>
      <c r="Z54" s="125">
        <v>0</v>
      </c>
      <c r="AA54" s="125">
        <v>0</v>
      </c>
      <c r="AB54" s="55">
        <v>48.22</v>
      </c>
      <c r="AC54" s="125">
        <v>0</v>
      </c>
      <c r="AD54" s="125">
        <v>0</v>
      </c>
      <c r="AE54" s="125">
        <v>0</v>
      </c>
      <c r="AF54" s="55"/>
      <c r="AG54" s="125">
        <v>0</v>
      </c>
      <c r="AH54" s="125">
        <v>0</v>
      </c>
      <c r="AI54" s="125">
        <v>0</v>
      </c>
      <c r="AJ54" s="125">
        <v>0</v>
      </c>
      <c r="AK54" s="125">
        <v>0</v>
      </c>
      <c r="AL54" s="125">
        <v>0</v>
      </c>
      <c r="AM54" s="125">
        <v>0</v>
      </c>
      <c r="AN54" s="125">
        <v>0</v>
      </c>
      <c r="AO54" s="55"/>
      <c r="AP54" s="125">
        <v>0</v>
      </c>
      <c r="AQ54" s="125">
        <v>0</v>
      </c>
      <c r="AR54" s="125">
        <v>0</v>
      </c>
      <c r="AS54" s="125">
        <v>0</v>
      </c>
      <c r="AT54" s="125">
        <v>0</v>
      </c>
      <c r="AU54" s="125">
        <v>0</v>
      </c>
      <c r="AV54" s="125">
        <v>0</v>
      </c>
      <c r="AW54" s="125">
        <v>0</v>
      </c>
      <c r="AX54" s="67"/>
      <c r="AY54" s="56">
        <f t="shared" si="23"/>
        <v>0</v>
      </c>
      <c r="AZ54" s="56">
        <f t="shared" si="24"/>
        <v>0</v>
      </c>
      <c r="BA54" s="56">
        <f t="shared" si="25"/>
        <v>0</v>
      </c>
      <c r="BB54" s="56">
        <f t="shared" si="26"/>
        <v>0</v>
      </c>
      <c r="BC54" s="56">
        <f t="shared" si="27"/>
        <v>0</v>
      </c>
      <c r="BD54" s="56">
        <f t="shared" si="28"/>
        <v>0</v>
      </c>
      <c r="BE54" s="56">
        <f t="shared" si="29"/>
        <v>0</v>
      </c>
      <c r="BF54" s="56">
        <f t="shared" si="30"/>
        <v>0</v>
      </c>
      <c r="BG54" s="55"/>
      <c r="BH54" s="56">
        <f t="shared" si="31"/>
        <v>0</v>
      </c>
      <c r="BI54" s="56">
        <f t="shared" si="32"/>
        <v>0</v>
      </c>
      <c r="BJ54" s="56">
        <f t="shared" si="33"/>
        <v>0</v>
      </c>
      <c r="BK54" s="56">
        <f t="shared" si="34"/>
        <v>0</v>
      </c>
      <c r="BL54" s="56">
        <f t="shared" si="35"/>
        <v>0</v>
      </c>
      <c r="BM54" s="56">
        <f t="shared" si="36"/>
        <v>0</v>
      </c>
      <c r="BN54" s="56">
        <f t="shared" si="37"/>
        <v>0</v>
      </c>
      <c r="BO54" s="56">
        <f t="shared" si="38"/>
        <v>0</v>
      </c>
    </row>
    <row r="55" spans="1:67" ht="12.75" customHeight="1">
      <c r="A55" s="48" t="s">
        <v>58</v>
      </c>
      <c r="B55" s="49"/>
      <c r="C55" s="90">
        <f t="shared" si="39"/>
        <v>1240</v>
      </c>
      <c r="D55" s="50">
        <v>0.62</v>
      </c>
      <c r="E55" s="121">
        <v>0</v>
      </c>
      <c r="F55" s="121">
        <v>0</v>
      </c>
      <c r="G55" s="121">
        <v>0</v>
      </c>
      <c r="H55" s="121">
        <v>0</v>
      </c>
      <c r="I55" s="121">
        <v>0</v>
      </c>
      <c r="J55" s="121">
        <v>0</v>
      </c>
      <c r="K55" s="121">
        <v>0</v>
      </c>
      <c r="L55" s="121">
        <v>0</v>
      </c>
      <c r="M55" s="52"/>
      <c r="N55" s="52"/>
      <c r="O55" s="52"/>
      <c r="P55" s="52"/>
      <c r="Q55" s="52"/>
      <c r="R55" s="51"/>
      <c r="S55" s="51"/>
      <c r="T55" s="51"/>
      <c r="U55" s="53"/>
      <c r="V55" s="54">
        <f t="shared" si="40"/>
        <v>0</v>
      </c>
      <c r="W55" s="125">
        <v>0</v>
      </c>
      <c r="X55" s="125">
        <v>0</v>
      </c>
      <c r="Y55" s="125"/>
      <c r="Z55" s="125">
        <v>0</v>
      </c>
      <c r="AA55" s="55"/>
      <c r="AB55" s="55"/>
      <c r="AC55" s="55"/>
      <c r="AD55" s="55">
        <v>136000</v>
      </c>
      <c r="AE55" s="125">
        <v>0</v>
      </c>
      <c r="AF55" s="55"/>
      <c r="AG55" s="125">
        <v>0</v>
      </c>
      <c r="AH55" s="125">
        <v>0</v>
      </c>
      <c r="AI55" s="125">
        <v>0</v>
      </c>
      <c r="AJ55" s="125">
        <v>0</v>
      </c>
      <c r="AK55" s="125">
        <v>0</v>
      </c>
      <c r="AL55" s="125">
        <v>0</v>
      </c>
      <c r="AM55" s="125">
        <v>0</v>
      </c>
      <c r="AN55" s="125">
        <v>0</v>
      </c>
      <c r="AO55" s="55"/>
      <c r="AP55" s="125">
        <v>0</v>
      </c>
      <c r="AQ55" s="125">
        <v>0</v>
      </c>
      <c r="AR55" s="125">
        <v>0</v>
      </c>
      <c r="AS55" s="125">
        <v>0</v>
      </c>
      <c r="AT55" s="125">
        <v>0</v>
      </c>
      <c r="AU55" s="125">
        <v>0</v>
      </c>
      <c r="AV55" s="125">
        <v>0</v>
      </c>
      <c r="AW55" s="125">
        <v>0</v>
      </c>
      <c r="AX55" s="67"/>
      <c r="AY55" s="56">
        <f t="shared" si="23"/>
        <v>0</v>
      </c>
      <c r="AZ55" s="56">
        <f t="shared" si="24"/>
        <v>0</v>
      </c>
      <c r="BA55" s="56">
        <f t="shared" si="25"/>
        <v>0</v>
      </c>
      <c r="BB55" s="56">
        <f t="shared" si="26"/>
        <v>0</v>
      </c>
      <c r="BC55" s="56">
        <f t="shared" si="27"/>
        <v>0</v>
      </c>
      <c r="BD55" s="56">
        <f t="shared" si="28"/>
        <v>0</v>
      </c>
      <c r="BE55" s="56">
        <f t="shared" si="29"/>
        <v>0</v>
      </c>
      <c r="BF55" s="56">
        <f t="shared" si="30"/>
        <v>0</v>
      </c>
      <c r="BG55" s="55"/>
      <c r="BH55" s="56">
        <f t="shared" si="31"/>
        <v>0</v>
      </c>
      <c r="BI55" s="56">
        <f t="shared" si="32"/>
        <v>0</v>
      </c>
      <c r="BJ55" s="56">
        <f t="shared" si="33"/>
        <v>0</v>
      </c>
      <c r="BK55" s="56">
        <f t="shared" si="34"/>
        <v>0</v>
      </c>
      <c r="BL55" s="56">
        <f t="shared" si="35"/>
        <v>0</v>
      </c>
      <c r="BM55" s="56">
        <f t="shared" si="36"/>
        <v>0</v>
      </c>
      <c r="BN55" s="56">
        <f t="shared" si="37"/>
        <v>0</v>
      </c>
      <c r="BO55" s="56">
        <f t="shared" si="38"/>
        <v>0</v>
      </c>
    </row>
    <row r="56" spans="1:67" ht="12.75" customHeight="1">
      <c r="A56" s="48" t="s">
        <v>29</v>
      </c>
      <c r="B56" s="49"/>
      <c r="C56" s="90">
        <f t="shared" si="39"/>
        <v>800</v>
      </c>
      <c r="D56" s="50">
        <v>0.4</v>
      </c>
      <c r="E56" s="121">
        <v>0</v>
      </c>
      <c r="F56" s="121">
        <v>0</v>
      </c>
      <c r="G56" s="121">
        <v>0</v>
      </c>
      <c r="H56" s="121">
        <v>0</v>
      </c>
      <c r="I56" s="121">
        <v>0</v>
      </c>
      <c r="J56" s="121">
        <v>0</v>
      </c>
      <c r="K56" s="121">
        <v>0</v>
      </c>
      <c r="L56" s="121">
        <v>0</v>
      </c>
      <c r="M56" s="52"/>
      <c r="N56" s="52"/>
      <c r="O56" s="52"/>
      <c r="P56" s="52"/>
      <c r="Q56" s="52"/>
      <c r="R56" s="51"/>
      <c r="S56" s="51"/>
      <c r="T56" s="51"/>
      <c r="U56" s="53"/>
      <c r="V56" s="54">
        <f t="shared" si="40"/>
        <v>0</v>
      </c>
      <c r="W56" s="125">
        <v>0</v>
      </c>
      <c r="X56" s="125">
        <v>0</v>
      </c>
      <c r="Y56" s="125">
        <v>0</v>
      </c>
      <c r="Z56" s="125">
        <v>0</v>
      </c>
      <c r="AA56" s="55"/>
      <c r="AB56" s="55"/>
      <c r="AC56" s="55"/>
      <c r="AD56" s="125">
        <v>0</v>
      </c>
      <c r="AE56" s="125">
        <v>0</v>
      </c>
      <c r="AF56" s="55"/>
      <c r="AG56" s="125">
        <v>0</v>
      </c>
      <c r="AH56" s="125">
        <v>0</v>
      </c>
      <c r="AI56" s="125">
        <v>0</v>
      </c>
      <c r="AJ56" s="125">
        <v>0</v>
      </c>
      <c r="AK56" s="125">
        <v>0</v>
      </c>
      <c r="AL56" s="125">
        <v>0</v>
      </c>
      <c r="AM56" s="125">
        <v>0</v>
      </c>
      <c r="AN56" s="125">
        <v>0</v>
      </c>
      <c r="AO56" s="55"/>
      <c r="AP56" s="125">
        <v>0</v>
      </c>
      <c r="AQ56" s="125">
        <v>0</v>
      </c>
      <c r="AR56" s="125">
        <v>0</v>
      </c>
      <c r="AS56" s="125">
        <v>0</v>
      </c>
      <c r="AT56" s="125">
        <v>0</v>
      </c>
      <c r="AU56" s="125">
        <v>0</v>
      </c>
      <c r="AV56" s="125">
        <v>0</v>
      </c>
      <c r="AW56" s="125">
        <v>0</v>
      </c>
      <c r="AX56" s="67"/>
      <c r="AY56" s="56">
        <f t="shared" si="23"/>
        <v>0</v>
      </c>
      <c r="AZ56" s="56">
        <f t="shared" si="24"/>
        <v>0</v>
      </c>
      <c r="BA56" s="56">
        <f t="shared" si="25"/>
        <v>0</v>
      </c>
      <c r="BB56" s="56">
        <f t="shared" si="26"/>
        <v>0</v>
      </c>
      <c r="BC56" s="56">
        <f t="shared" si="27"/>
        <v>0</v>
      </c>
      <c r="BD56" s="56">
        <f t="shared" si="28"/>
        <v>0</v>
      </c>
      <c r="BE56" s="56">
        <f t="shared" si="29"/>
        <v>0</v>
      </c>
      <c r="BF56" s="56">
        <f t="shared" si="30"/>
        <v>0</v>
      </c>
      <c r="BG56" s="55"/>
      <c r="BH56" s="56">
        <f t="shared" si="31"/>
        <v>0</v>
      </c>
      <c r="BI56" s="56">
        <f t="shared" si="32"/>
        <v>0</v>
      </c>
      <c r="BJ56" s="56">
        <f t="shared" si="33"/>
        <v>0</v>
      </c>
      <c r="BK56" s="56">
        <f t="shared" si="34"/>
        <v>0</v>
      </c>
      <c r="BL56" s="56">
        <f t="shared" si="35"/>
        <v>0</v>
      </c>
      <c r="BM56" s="56">
        <f t="shared" si="36"/>
        <v>0</v>
      </c>
      <c r="BN56" s="56">
        <f t="shared" si="37"/>
        <v>0</v>
      </c>
      <c r="BO56" s="56">
        <f t="shared" si="38"/>
        <v>0</v>
      </c>
    </row>
    <row r="57" spans="1:67" ht="12.75" customHeight="1">
      <c r="A57" s="48" t="s">
        <v>46</v>
      </c>
      <c r="B57" s="49"/>
      <c r="C57" s="90">
        <f t="shared" si="39"/>
        <v>2200</v>
      </c>
      <c r="D57" s="50">
        <v>1.1</v>
      </c>
      <c r="E57" s="121">
        <v>0</v>
      </c>
      <c r="F57" s="121">
        <v>0</v>
      </c>
      <c r="G57" s="121">
        <v>0</v>
      </c>
      <c r="H57" s="121">
        <v>0</v>
      </c>
      <c r="I57" s="121">
        <v>0</v>
      </c>
      <c r="J57" s="121">
        <v>0</v>
      </c>
      <c r="K57" s="121">
        <v>0</v>
      </c>
      <c r="L57" s="121">
        <v>0</v>
      </c>
      <c r="M57" s="52"/>
      <c r="N57" s="52"/>
      <c r="O57" s="52"/>
      <c r="P57" s="52"/>
      <c r="Q57" s="52"/>
      <c r="R57" s="51"/>
      <c r="S57" s="51"/>
      <c r="T57" s="51"/>
      <c r="U57" s="53"/>
      <c r="V57" s="54">
        <f t="shared" si="40"/>
        <v>0</v>
      </c>
      <c r="W57" s="125">
        <v>0</v>
      </c>
      <c r="X57" s="125">
        <v>0</v>
      </c>
      <c r="Y57" s="125"/>
      <c r="Z57" s="125">
        <v>0</v>
      </c>
      <c r="AA57" s="55"/>
      <c r="AB57" s="55"/>
      <c r="AC57" s="55"/>
      <c r="AD57" s="125">
        <v>0</v>
      </c>
      <c r="AE57" s="125">
        <v>0</v>
      </c>
      <c r="AF57" s="55"/>
      <c r="AG57" s="125">
        <v>0</v>
      </c>
      <c r="AH57" s="125">
        <v>0</v>
      </c>
      <c r="AI57" s="125">
        <v>0</v>
      </c>
      <c r="AJ57" s="125">
        <v>0</v>
      </c>
      <c r="AK57" s="125">
        <v>0</v>
      </c>
      <c r="AL57" s="125">
        <v>0</v>
      </c>
      <c r="AM57" s="125">
        <v>0</v>
      </c>
      <c r="AN57" s="125">
        <v>0</v>
      </c>
      <c r="AO57" s="55"/>
      <c r="AP57" s="125">
        <v>0</v>
      </c>
      <c r="AQ57" s="125">
        <v>0</v>
      </c>
      <c r="AR57" s="125">
        <v>0</v>
      </c>
      <c r="AS57" s="125">
        <v>0</v>
      </c>
      <c r="AT57" s="125">
        <v>0</v>
      </c>
      <c r="AU57" s="125">
        <v>0</v>
      </c>
      <c r="AV57" s="125">
        <v>0</v>
      </c>
      <c r="AW57" s="125">
        <v>0</v>
      </c>
      <c r="AX57" s="67"/>
      <c r="AY57" s="56">
        <f t="shared" si="23"/>
        <v>0</v>
      </c>
      <c r="AZ57" s="56">
        <f t="shared" si="24"/>
        <v>0</v>
      </c>
      <c r="BA57" s="56">
        <f t="shared" si="25"/>
        <v>0</v>
      </c>
      <c r="BB57" s="56">
        <f t="shared" si="26"/>
        <v>0</v>
      </c>
      <c r="BC57" s="56">
        <f t="shared" si="27"/>
        <v>0</v>
      </c>
      <c r="BD57" s="56">
        <f t="shared" si="28"/>
        <v>0</v>
      </c>
      <c r="BE57" s="56">
        <f t="shared" si="29"/>
        <v>0</v>
      </c>
      <c r="BF57" s="56">
        <f t="shared" si="30"/>
        <v>0</v>
      </c>
      <c r="BG57" s="55"/>
      <c r="BH57" s="56">
        <f t="shared" si="31"/>
        <v>0</v>
      </c>
      <c r="BI57" s="56">
        <f t="shared" si="32"/>
        <v>0</v>
      </c>
      <c r="BJ57" s="56">
        <f t="shared" si="33"/>
        <v>0</v>
      </c>
      <c r="BK57" s="56">
        <f t="shared" si="34"/>
        <v>0</v>
      </c>
      <c r="BL57" s="56">
        <f t="shared" si="35"/>
        <v>0</v>
      </c>
      <c r="BM57" s="56">
        <f t="shared" si="36"/>
        <v>0</v>
      </c>
      <c r="BN57" s="56">
        <f t="shared" si="37"/>
        <v>0</v>
      </c>
      <c r="BO57" s="56">
        <f t="shared" si="38"/>
        <v>0</v>
      </c>
    </row>
    <row r="58" spans="1:67" ht="12.75" customHeight="1">
      <c r="A58" s="48" t="s">
        <v>11</v>
      </c>
      <c r="B58" s="49"/>
      <c r="C58" s="90">
        <f t="shared" si="39"/>
        <v>1800</v>
      </c>
      <c r="D58" s="50">
        <v>0.9</v>
      </c>
      <c r="E58" s="51">
        <v>78.6</v>
      </c>
      <c r="F58" s="121">
        <v>0</v>
      </c>
      <c r="G58" s="121">
        <v>0</v>
      </c>
      <c r="H58" s="121">
        <v>0</v>
      </c>
      <c r="I58" s="121">
        <v>0</v>
      </c>
      <c r="J58" s="121">
        <v>0</v>
      </c>
      <c r="K58" s="121">
        <v>0</v>
      </c>
      <c r="L58" s="121">
        <v>0</v>
      </c>
      <c r="M58" s="66">
        <v>4340</v>
      </c>
      <c r="N58" s="52">
        <v>3380</v>
      </c>
      <c r="O58" s="52">
        <v>3380</v>
      </c>
      <c r="P58" s="66">
        <f>M58/0.96</f>
        <v>4520.833333333334</v>
      </c>
      <c r="Q58" s="66">
        <v>3380</v>
      </c>
      <c r="R58" s="51">
        <v>95.4</v>
      </c>
      <c r="S58" s="51"/>
      <c r="T58" s="51"/>
      <c r="U58" s="53"/>
      <c r="V58" s="54">
        <f t="shared" si="40"/>
        <v>0</v>
      </c>
      <c r="W58" s="125">
        <v>0</v>
      </c>
      <c r="X58" s="125">
        <v>0</v>
      </c>
      <c r="Y58" s="125">
        <v>0</v>
      </c>
      <c r="Z58" s="125">
        <v>0</v>
      </c>
      <c r="AA58" s="125">
        <v>0</v>
      </c>
      <c r="AB58" s="55">
        <v>21.2</v>
      </c>
      <c r="AC58" s="125">
        <v>0</v>
      </c>
      <c r="AD58" s="125">
        <v>0</v>
      </c>
      <c r="AE58" s="125">
        <v>0</v>
      </c>
      <c r="AF58" s="55"/>
      <c r="AG58" s="53">
        <v>1</v>
      </c>
      <c r="AH58" s="125">
        <v>0</v>
      </c>
      <c r="AI58" s="125">
        <v>0</v>
      </c>
      <c r="AJ58" s="125">
        <v>0</v>
      </c>
      <c r="AK58" s="125">
        <v>0</v>
      </c>
      <c r="AL58" s="125">
        <v>0</v>
      </c>
      <c r="AM58" s="125">
        <v>0</v>
      </c>
      <c r="AN58" s="125">
        <v>0</v>
      </c>
      <c r="AO58" s="67"/>
      <c r="AP58" s="53">
        <v>1</v>
      </c>
      <c r="AQ58" s="125">
        <v>0</v>
      </c>
      <c r="AR58" s="125">
        <v>0</v>
      </c>
      <c r="AS58" s="125">
        <v>0</v>
      </c>
      <c r="AT58" s="125">
        <v>0</v>
      </c>
      <c r="AU58" s="125">
        <v>0</v>
      </c>
      <c r="AV58" s="125">
        <v>0</v>
      </c>
      <c r="AW58" s="125">
        <v>0</v>
      </c>
      <c r="AX58" s="53"/>
      <c r="AY58" s="56">
        <f t="shared" si="23"/>
        <v>78.6</v>
      </c>
      <c r="AZ58" s="56">
        <f t="shared" si="24"/>
        <v>0</v>
      </c>
      <c r="BA58" s="56">
        <f t="shared" si="25"/>
        <v>0</v>
      </c>
      <c r="BB58" s="56">
        <f t="shared" si="26"/>
        <v>0</v>
      </c>
      <c r="BC58" s="56">
        <f t="shared" si="27"/>
        <v>0</v>
      </c>
      <c r="BD58" s="56">
        <f t="shared" si="28"/>
        <v>0</v>
      </c>
      <c r="BE58" s="56">
        <f t="shared" si="29"/>
        <v>0</v>
      </c>
      <c r="BF58" s="56">
        <f t="shared" si="30"/>
        <v>0</v>
      </c>
      <c r="BG58" s="55"/>
      <c r="BH58" s="56">
        <f t="shared" si="31"/>
        <v>78.6</v>
      </c>
      <c r="BI58" s="56">
        <f t="shared" si="32"/>
        <v>0</v>
      </c>
      <c r="BJ58" s="56">
        <f t="shared" si="33"/>
        <v>0</v>
      </c>
      <c r="BK58" s="56">
        <f t="shared" si="34"/>
        <v>0</v>
      </c>
      <c r="BL58" s="56">
        <f t="shared" si="35"/>
        <v>0</v>
      </c>
      <c r="BM58" s="56">
        <f t="shared" si="36"/>
        <v>0</v>
      </c>
      <c r="BN58" s="56">
        <f t="shared" si="37"/>
        <v>0</v>
      </c>
      <c r="BO58" s="56">
        <f t="shared" si="38"/>
        <v>0</v>
      </c>
    </row>
    <row r="59" spans="1:67" ht="12.75" customHeight="1">
      <c r="A59" s="68" t="s">
        <v>12</v>
      </c>
      <c r="B59" s="49"/>
      <c r="C59" s="90">
        <f t="shared" si="39"/>
        <v>2500</v>
      </c>
      <c r="D59" s="50">
        <v>1.25</v>
      </c>
      <c r="E59" s="121">
        <v>0</v>
      </c>
      <c r="F59" s="121">
        <v>0</v>
      </c>
      <c r="G59" s="121">
        <v>0</v>
      </c>
      <c r="H59" s="51">
        <v>99</v>
      </c>
      <c r="I59" s="121">
        <v>0</v>
      </c>
      <c r="J59" s="51"/>
      <c r="K59" s="121">
        <v>0</v>
      </c>
      <c r="L59" s="121">
        <v>0</v>
      </c>
      <c r="M59" s="66">
        <v>5350</v>
      </c>
      <c r="N59" s="52">
        <v>4130</v>
      </c>
      <c r="O59" s="52">
        <v>4130</v>
      </c>
      <c r="P59" s="66">
        <f>M59/0.96</f>
        <v>5572.916666666667</v>
      </c>
      <c r="Q59" s="66">
        <v>4130</v>
      </c>
      <c r="R59" s="51">
        <v>58.4</v>
      </c>
      <c r="S59" s="51"/>
      <c r="T59" s="51"/>
      <c r="U59" s="53"/>
      <c r="V59" s="54">
        <f t="shared" si="40"/>
        <v>0</v>
      </c>
      <c r="W59" s="125">
        <v>0</v>
      </c>
      <c r="X59" s="125">
        <v>0</v>
      </c>
      <c r="Y59" s="125">
        <v>0</v>
      </c>
      <c r="Z59" s="125">
        <v>0</v>
      </c>
      <c r="AA59" s="125">
        <v>0</v>
      </c>
      <c r="AB59" s="125">
        <v>0</v>
      </c>
      <c r="AC59" s="125">
        <v>0</v>
      </c>
      <c r="AD59" s="125">
        <v>0</v>
      </c>
      <c r="AE59" s="125">
        <v>0</v>
      </c>
      <c r="AF59" s="55"/>
      <c r="AG59" s="125">
        <v>0</v>
      </c>
      <c r="AH59" s="125">
        <v>0</v>
      </c>
      <c r="AI59" s="125">
        <v>0</v>
      </c>
      <c r="AJ59" s="53">
        <v>1</v>
      </c>
      <c r="AK59" s="53">
        <v>1</v>
      </c>
      <c r="AL59" s="125">
        <v>0</v>
      </c>
      <c r="AM59" s="125">
        <v>0</v>
      </c>
      <c r="AN59" s="125">
        <v>0</v>
      </c>
      <c r="AO59" s="53"/>
      <c r="AP59" s="125">
        <v>0</v>
      </c>
      <c r="AQ59" s="125">
        <v>0</v>
      </c>
      <c r="AR59" s="125">
        <v>0</v>
      </c>
      <c r="AS59" s="53">
        <v>1</v>
      </c>
      <c r="AT59" s="53">
        <v>1</v>
      </c>
      <c r="AU59" s="125">
        <v>0</v>
      </c>
      <c r="AV59" s="125">
        <v>0</v>
      </c>
      <c r="AW59" s="125">
        <v>0</v>
      </c>
      <c r="AX59" s="67"/>
      <c r="AY59" s="56">
        <f t="shared" si="23"/>
        <v>0</v>
      </c>
      <c r="AZ59" s="56">
        <f t="shared" si="24"/>
        <v>0</v>
      </c>
      <c r="BA59" s="56">
        <f t="shared" si="25"/>
        <v>0</v>
      </c>
      <c r="BB59" s="56">
        <f t="shared" si="26"/>
        <v>99</v>
      </c>
      <c r="BC59" s="56">
        <f t="shared" si="27"/>
        <v>0</v>
      </c>
      <c r="BD59" s="56">
        <f t="shared" si="28"/>
      </c>
      <c r="BE59" s="56">
        <f t="shared" si="29"/>
        <v>0</v>
      </c>
      <c r="BF59" s="56">
        <f t="shared" si="30"/>
        <v>0</v>
      </c>
      <c r="BG59" s="55"/>
      <c r="BH59" s="56">
        <f t="shared" si="31"/>
        <v>0</v>
      </c>
      <c r="BI59" s="56">
        <f t="shared" si="32"/>
        <v>0</v>
      </c>
      <c r="BJ59" s="56">
        <f t="shared" si="33"/>
        <v>0</v>
      </c>
      <c r="BK59" s="56">
        <f t="shared" si="34"/>
        <v>99</v>
      </c>
      <c r="BL59" s="56">
        <f t="shared" si="35"/>
        <v>0</v>
      </c>
      <c r="BM59" s="56">
        <f t="shared" si="36"/>
      </c>
      <c r="BN59" s="56">
        <f t="shared" si="37"/>
        <v>0</v>
      </c>
      <c r="BO59" s="56">
        <f t="shared" si="38"/>
        <v>0</v>
      </c>
    </row>
    <row r="60" spans="1:67" ht="12.75" customHeight="1">
      <c r="A60" s="48" t="s">
        <v>61</v>
      </c>
      <c r="B60" s="49"/>
      <c r="C60" s="90">
        <f t="shared" si="39"/>
        <v>3500</v>
      </c>
      <c r="D60" s="50">
        <v>1.75</v>
      </c>
      <c r="E60" s="121">
        <v>0</v>
      </c>
      <c r="F60" s="121">
        <v>0</v>
      </c>
      <c r="G60" s="121">
        <v>0</v>
      </c>
      <c r="H60" s="121">
        <v>0</v>
      </c>
      <c r="I60" s="121">
        <v>0</v>
      </c>
      <c r="J60" s="51">
        <v>99</v>
      </c>
      <c r="K60" s="121">
        <v>0</v>
      </c>
      <c r="L60" s="121">
        <v>0</v>
      </c>
      <c r="M60" s="66">
        <v>3770</v>
      </c>
      <c r="N60" s="52">
        <v>2930</v>
      </c>
      <c r="O60" s="52">
        <v>2930</v>
      </c>
      <c r="P60" s="66">
        <f>M60/0.96</f>
        <v>3927.0833333333335</v>
      </c>
      <c r="Q60" s="66">
        <v>2930</v>
      </c>
      <c r="R60" s="51">
        <v>73.1</v>
      </c>
      <c r="S60" s="51"/>
      <c r="T60" s="51"/>
      <c r="U60" s="53"/>
      <c r="V60" s="54">
        <f t="shared" si="40"/>
        <v>0</v>
      </c>
      <c r="W60" s="125">
        <v>0</v>
      </c>
      <c r="X60" s="125">
        <v>0</v>
      </c>
      <c r="Y60" s="125">
        <v>0</v>
      </c>
      <c r="Z60" s="125">
        <v>0</v>
      </c>
      <c r="AA60" s="125">
        <v>0</v>
      </c>
      <c r="AB60" s="125">
        <v>0</v>
      </c>
      <c r="AC60" s="125">
        <v>0</v>
      </c>
      <c r="AD60" s="125">
        <v>0</v>
      </c>
      <c r="AE60" s="125">
        <v>0</v>
      </c>
      <c r="AF60" s="55"/>
      <c r="AG60" s="125">
        <v>0</v>
      </c>
      <c r="AH60" s="125">
        <v>0</v>
      </c>
      <c r="AI60" s="125">
        <v>0</v>
      </c>
      <c r="AJ60" s="125">
        <v>0</v>
      </c>
      <c r="AK60" s="125">
        <v>0</v>
      </c>
      <c r="AL60" s="70">
        <v>1</v>
      </c>
      <c r="AM60" s="125">
        <v>0</v>
      </c>
      <c r="AN60" s="125">
        <v>0</v>
      </c>
      <c r="AO60" s="67"/>
      <c r="AP60" s="125">
        <v>0</v>
      </c>
      <c r="AQ60" s="125">
        <v>0</v>
      </c>
      <c r="AR60" s="125">
        <v>0</v>
      </c>
      <c r="AS60" s="125">
        <v>0</v>
      </c>
      <c r="AT60" s="125">
        <v>0</v>
      </c>
      <c r="AU60" s="70">
        <v>1</v>
      </c>
      <c r="AV60" s="125">
        <v>0</v>
      </c>
      <c r="AW60" s="125">
        <v>0</v>
      </c>
      <c r="AX60" s="67"/>
      <c r="AY60" s="56">
        <f t="shared" si="23"/>
        <v>0</v>
      </c>
      <c r="AZ60" s="56">
        <f t="shared" si="24"/>
        <v>0</v>
      </c>
      <c r="BA60" s="56">
        <f t="shared" si="25"/>
        <v>0</v>
      </c>
      <c r="BB60" s="56">
        <f t="shared" si="26"/>
        <v>0</v>
      </c>
      <c r="BC60" s="56">
        <f t="shared" si="27"/>
        <v>0</v>
      </c>
      <c r="BD60" s="56">
        <f t="shared" si="28"/>
        <v>99</v>
      </c>
      <c r="BE60" s="56">
        <f t="shared" si="29"/>
        <v>0</v>
      </c>
      <c r="BF60" s="56">
        <f t="shared" si="30"/>
        <v>0</v>
      </c>
      <c r="BG60" s="55"/>
      <c r="BH60" s="56">
        <f t="shared" si="31"/>
        <v>0</v>
      </c>
      <c r="BI60" s="56">
        <f t="shared" si="32"/>
        <v>0</v>
      </c>
      <c r="BJ60" s="56">
        <f t="shared" si="33"/>
        <v>0</v>
      </c>
      <c r="BK60" s="56">
        <f t="shared" si="34"/>
        <v>0</v>
      </c>
      <c r="BL60" s="56">
        <f t="shared" si="35"/>
        <v>0</v>
      </c>
      <c r="BM60" s="56">
        <f t="shared" si="36"/>
        <v>99</v>
      </c>
      <c r="BN60" s="56">
        <f t="shared" si="37"/>
        <v>0</v>
      </c>
      <c r="BO60" s="56">
        <f t="shared" si="38"/>
        <v>0</v>
      </c>
    </row>
    <row r="61" spans="1:67" ht="12.75" customHeight="1">
      <c r="A61" s="48" t="s">
        <v>71</v>
      </c>
      <c r="B61" s="49"/>
      <c r="C61" s="90">
        <f t="shared" si="39"/>
        <v>8000</v>
      </c>
      <c r="D61" s="50">
        <v>4</v>
      </c>
      <c r="E61" s="121">
        <v>0</v>
      </c>
      <c r="F61" s="121">
        <v>0</v>
      </c>
      <c r="G61" s="121">
        <v>0</v>
      </c>
      <c r="H61" s="121">
        <v>0</v>
      </c>
      <c r="I61" s="121">
        <v>0</v>
      </c>
      <c r="J61" s="121">
        <v>0</v>
      </c>
      <c r="K61" s="51">
        <v>98.5</v>
      </c>
      <c r="L61" s="121">
        <v>0</v>
      </c>
      <c r="M61" s="66">
        <v>6170</v>
      </c>
      <c r="N61" s="52">
        <v>4770</v>
      </c>
      <c r="O61" s="52">
        <v>4770</v>
      </c>
      <c r="P61" s="66">
        <f>M61/0.96</f>
        <v>6427.083333333334</v>
      </c>
      <c r="Q61" s="66">
        <v>4770</v>
      </c>
      <c r="R61" s="51">
        <v>85.3</v>
      </c>
      <c r="S61" s="51"/>
      <c r="T61" s="51"/>
      <c r="U61" s="53"/>
      <c r="V61" s="54">
        <f t="shared" si="40"/>
        <v>0</v>
      </c>
      <c r="W61" s="125">
        <v>0</v>
      </c>
      <c r="X61" s="125">
        <v>0</v>
      </c>
      <c r="Y61" s="125">
        <v>0</v>
      </c>
      <c r="Z61" s="125">
        <v>0</v>
      </c>
      <c r="AA61" s="125">
        <v>0</v>
      </c>
      <c r="AB61" s="125">
        <v>0</v>
      </c>
      <c r="AC61" s="125">
        <v>0</v>
      </c>
      <c r="AD61" s="125">
        <v>0</v>
      </c>
      <c r="AE61" s="125">
        <v>0</v>
      </c>
      <c r="AF61" s="55"/>
      <c r="AG61" s="125">
        <v>0</v>
      </c>
      <c r="AH61" s="125">
        <v>0</v>
      </c>
      <c r="AI61" s="125">
        <v>0</v>
      </c>
      <c r="AJ61" s="125">
        <v>0</v>
      </c>
      <c r="AK61" s="125">
        <v>0</v>
      </c>
      <c r="AL61" s="125">
        <v>0</v>
      </c>
      <c r="AM61" s="53">
        <v>1</v>
      </c>
      <c r="AN61" s="125">
        <v>0</v>
      </c>
      <c r="AO61" s="67"/>
      <c r="AP61" s="125">
        <v>0</v>
      </c>
      <c r="AQ61" s="125">
        <v>0</v>
      </c>
      <c r="AR61" s="125">
        <v>0</v>
      </c>
      <c r="AS61" s="125">
        <v>0</v>
      </c>
      <c r="AT61" s="125">
        <v>0</v>
      </c>
      <c r="AU61" s="125">
        <v>0</v>
      </c>
      <c r="AV61" s="53">
        <v>1</v>
      </c>
      <c r="AW61" s="125">
        <v>0</v>
      </c>
      <c r="AX61" s="67"/>
      <c r="AY61" s="56">
        <f t="shared" si="23"/>
        <v>0</v>
      </c>
      <c r="AZ61" s="56">
        <f t="shared" si="24"/>
        <v>0</v>
      </c>
      <c r="BA61" s="56">
        <f t="shared" si="25"/>
        <v>0</v>
      </c>
      <c r="BB61" s="56">
        <f t="shared" si="26"/>
        <v>0</v>
      </c>
      <c r="BC61" s="56">
        <f t="shared" si="27"/>
        <v>0</v>
      </c>
      <c r="BD61" s="56">
        <f t="shared" si="28"/>
        <v>0</v>
      </c>
      <c r="BE61" s="56">
        <f t="shared" si="29"/>
        <v>98.5</v>
      </c>
      <c r="BF61" s="56">
        <f t="shared" si="30"/>
        <v>0</v>
      </c>
      <c r="BG61" s="55"/>
      <c r="BH61" s="56">
        <f t="shared" si="31"/>
        <v>0</v>
      </c>
      <c r="BI61" s="56">
        <f t="shared" si="32"/>
        <v>0</v>
      </c>
      <c r="BJ61" s="56">
        <f t="shared" si="33"/>
        <v>0</v>
      </c>
      <c r="BK61" s="56">
        <f t="shared" si="34"/>
        <v>0</v>
      </c>
      <c r="BL61" s="56">
        <f t="shared" si="35"/>
        <v>0</v>
      </c>
      <c r="BM61" s="56">
        <f t="shared" si="36"/>
        <v>0</v>
      </c>
      <c r="BN61" s="56">
        <f t="shared" si="37"/>
        <v>98.5</v>
      </c>
      <c r="BO61" s="56">
        <f t="shared" si="38"/>
        <v>0</v>
      </c>
    </row>
    <row r="62" spans="1:67" ht="12.75">
      <c r="A62" s="71" t="s">
        <v>72</v>
      </c>
      <c r="B62" s="49"/>
      <c r="C62" s="90">
        <f t="shared" si="39"/>
        <v>2100</v>
      </c>
      <c r="D62" s="50">
        <v>1.05</v>
      </c>
      <c r="E62" s="121">
        <v>0</v>
      </c>
      <c r="F62" s="121">
        <v>0</v>
      </c>
      <c r="G62" s="121">
        <v>0</v>
      </c>
      <c r="H62" s="51">
        <v>88</v>
      </c>
      <c r="I62" s="121">
        <v>0</v>
      </c>
      <c r="J62" s="121">
        <v>0</v>
      </c>
      <c r="K62" s="121">
        <v>0</v>
      </c>
      <c r="L62" s="121">
        <v>0</v>
      </c>
      <c r="M62" s="66">
        <v>4730</v>
      </c>
      <c r="N62" s="52">
        <v>3650</v>
      </c>
      <c r="O62" s="52">
        <v>3650</v>
      </c>
      <c r="P62" s="66">
        <f>M62/0.96</f>
        <v>4927.083333333334</v>
      </c>
      <c r="Q62" s="66">
        <v>3650</v>
      </c>
      <c r="R62" s="51">
        <v>0</v>
      </c>
      <c r="S62" s="51"/>
      <c r="T62" s="51"/>
      <c r="U62" s="51"/>
      <c r="V62" s="54">
        <f t="shared" si="40"/>
        <v>0</v>
      </c>
      <c r="W62" s="125">
        <v>0</v>
      </c>
      <c r="X62" s="125">
        <v>0</v>
      </c>
      <c r="Y62" s="125">
        <v>0</v>
      </c>
      <c r="Z62" s="125">
        <v>0</v>
      </c>
      <c r="AA62" s="125">
        <v>0</v>
      </c>
      <c r="AB62" s="55"/>
      <c r="AC62" s="125">
        <v>0</v>
      </c>
      <c r="AD62" s="125">
        <v>0</v>
      </c>
      <c r="AE62" s="125">
        <v>0</v>
      </c>
      <c r="AF62" s="55"/>
      <c r="AG62" s="125">
        <v>0</v>
      </c>
      <c r="AH62" s="125">
        <v>0</v>
      </c>
      <c r="AI62" s="125">
        <v>0</v>
      </c>
      <c r="AJ62" s="53">
        <v>1</v>
      </c>
      <c r="AK62" s="53">
        <v>1</v>
      </c>
      <c r="AL62" s="125">
        <v>0</v>
      </c>
      <c r="AM62" s="125">
        <v>0</v>
      </c>
      <c r="AN62" s="125">
        <v>0</v>
      </c>
      <c r="AO62" s="55"/>
      <c r="AP62" s="125">
        <v>0</v>
      </c>
      <c r="AQ62" s="125">
        <v>0</v>
      </c>
      <c r="AR62" s="125">
        <v>0</v>
      </c>
      <c r="AS62" s="53">
        <v>1</v>
      </c>
      <c r="AT62" s="53">
        <v>1</v>
      </c>
      <c r="AU62" s="125">
        <v>0</v>
      </c>
      <c r="AV62" s="125">
        <v>0</v>
      </c>
      <c r="AW62" s="125">
        <v>0</v>
      </c>
      <c r="AX62" s="53"/>
      <c r="AY62" s="56">
        <f t="shared" si="23"/>
        <v>0</v>
      </c>
      <c r="AZ62" s="56">
        <f t="shared" si="24"/>
        <v>0</v>
      </c>
      <c r="BA62" s="56">
        <f t="shared" si="25"/>
        <v>0</v>
      </c>
      <c r="BB62" s="56">
        <f t="shared" si="26"/>
        <v>88</v>
      </c>
      <c r="BC62" s="56">
        <f t="shared" si="27"/>
        <v>0</v>
      </c>
      <c r="BD62" s="56">
        <f t="shared" si="28"/>
        <v>0</v>
      </c>
      <c r="BE62" s="56">
        <f t="shared" si="29"/>
        <v>0</v>
      </c>
      <c r="BF62" s="56">
        <f t="shared" si="30"/>
        <v>0</v>
      </c>
      <c r="BG62" s="55"/>
      <c r="BH62" s="56">
        <f t="shared" si="31"/>
        <v>0</v>
      </c>
      <c r="BI62" s="56">
        <f t="shared" si="32"/>
        <v>0</v>
      </c>
      <c r="BJ62" s="56">
        <f t="shared" si="33"/>
        <v>0</v>
      </c>
      <c r="BK62" s="56">
        <f t="shared" si="34"/>
        <v>88</v>
      </c>
      <c r="BL62" s="56">
        <f t="shared" si="35"/>
        <v>0</v>
      </c>
      <c r="BM62" s="56">
        <f t="shared" si="36"/>
        <v>0</v>
      </c>
      <c r="BN62" s="56">
        <f t="shared" si="37"/>
        <v>0</v>
      </c>
      <c r="BO62" s="56">
        <f t="shared" si="38"/>
        <v>0</v>
      </c>
    </row>
    <row r="63" spans="1:67" ht="12.75" customHeight="1">
      <c r="A63" s="48" t="s">
        <v>77</v>
      </c>
      <c r="B63" s="49"/>
      <c r="C63" s="90">
        <f t="shared" si="39"/>
        <v>54000</v>
      </c>
      <c r="D63" s="50">
        <v>27</v>
      </c>
      <c r="E63" s="121">
        <v>0</v>
      </c>
      <c r="F63" s="121">
        <v>0</v>
      </c>
      <c r="G63" s="121">
        <v>0</v>
      </c>
      <c r="H63" s="121">
        <v>0</v>
      </c>
      <c r="I63" s="121">
        <v>0</v>
      </c>
      <c r="J63" s="121">
        <v>0</v>
      </c>
      <c r="K63" s="121">
        <v>0</v>
      </c>
      <c r="L63" s="121">
        <v>0</v>
      </c>
      <c r="M63" s="52"/>
      <c r="N63" s="52"/>
      <c r="O63" s="52"/>
      <c r="P63" s="52"/>
      <c r="Q63" s="52"/>
      <c r="R63" s="51"/>
      <c r="S63" s="51"/>
      <c r="T63" s="51"/>
      <c r="U63" s="53"/>
      <c r="V63" s="54">
        <f t="shared" si="40"/>
        <v>0</v>
      </c>
      <c r="W63" s="125">
        <v>0</v>
      </c>
      <c r="X63" s="125">
        <v>0</v>
      </c>
      <c r="Y63" s="125">
        <v>0</v>
      </c>
      <c r="Z63" s="125">
        <v>0</v>
      </c>
      <c r="AA63" s="125">
        <v>0</v>
      </c>
      <c r="AB63" s="55"/>
      <c r="AC63" s="125">
        <v>0</v>
      </c>
      <c r="AD63" s="125">
        <v>0</v>
      </c>
      <c r="AE63" s="125">
        <v>0</v>
      </c>
      <c r="AF63" s="55"/>
      <c r="AG63" s="125">
        <v>0</v>
      </c>
      <c r="AH63" s="125">
        <v>0</v>
      </c>
      <c r="AI63" s="125">
        <v>0</v>
      </c>
      <c r="AJ63" s="125">
        <v>0</v>
      </c>
      <c r="AK63" s="125">
        <v>0</v>
      </c>
      <c r="AL63" s="125">
        <v>0</v>
      </c>
      <c r="AM63" s="125">
        <v>0</v>
      </c>
      <c r="AN63" s="125">
        <v>0</v>
      </c>
      <c r="AO63" s="67"/>
      <c r="AP63" s="125">
        <v>0</v>
      </c>
      <c r="AQ63" s="125">
        <v>0</v>
      </c>
      <c r="AR63" s="125">
        <v>0</v>
      </c>
      <c r="AS63" s="125">
        <v>0</v>
      </c>
      <c r="AT63" s="125">
        <v>0</v>
      </c>
      <c r="AU63" s="125">
        <v>0</v>
      </c>
      <c r="AV63" s="125">
        <v>0</v>
      </c>
      <c r="AW63" s="125">
        <v>0</v>
      </c>
      <c r="AX63" s="67"/>
      <c r="AY63" s="56">
        <f t="shared" si="23"/>
        <v>0</v>
      </c>
      <c r="AZ63" s="56">
        <f t="shared" si="24"/>
        <v>0</v>
      </c>
      <c r="BA63" s="56">
        <f t="shared" si="25"/>
        <v>0</v>
      </c>
      <c r="BB63" s="56">
        <f t="shared" si="26"/>
        <v>0</v>
      </c>
      <c r="BC63" s="56">
        <f t="shared" si="27"/>
        <v>0</v>
      </c>
      <c r="BD63" s="56">
        <f t="shared" si="28"/>
        <v>0</v>
      </c>
      <c r="BE63" s="56">
        <f t="shared" si="29"/>
        <v>0</v>
      </c>
      <c r="BF63" s="56">
        <f t="shared" si="30"/>
        <v>0</v>
      </c>
      <c r="BG63" s="55"/>
      <c r="BH63" s="56">
        <f t="shared" si="31"/>
        <v>0</v>
      </c>
      <c r="BI63" s="56">
        <f t="shared" si="32"/>
        <v>0</v>
      </c>
      <c r="BJ63" s="56">
        <f t="shared" si="33"/>
        <v>0</v>
      </c>
      <c r="BK63" s="56">
        <f t="shared" si="34"/>
        <v>0</v>
      </c>
      <c r="BL63" s="56">
        <f t="shared" si="35"/>
        <v>0</v>
      </c>
      <c r="BM63" s="56">
        <f t="shared" si="36"/>
        <v>0</v>
      </c>
      <c r="BN63" s="56">
        <f t="shared" si="37"/>
        <v>0</v>
      </c>
      <c r="BO63" s="56">
        <f t="shared" si="38"/>
        <v>0</v>
      </c>
    </row>
    <row r="64" spans="1:67" ht="12.75" customHeight="1">
      <c r="A64" s="48" t="s">
        <v>148</v>
      </c>
      <c r="B64" s="49"/>
      <c r="C64" s="90">
        <f t="shared" si="39"/>
        <v>2200</v>
      </c>
      <c r="D64" s="50">
        <v>1.1</v>
      </c>
      <c r="E64" s="121">
        <v>0</v>
      </c>
      <c r="F64" s="121">
        <v>0</v>
      </c>
      <c r="G64" s="121">
        <v>0</v>
      </c>
      <c r="H64" s="121">
        <v>0</v>
      </c>
      <c r="I64" s="121">
        <v>0</v>
      </c>
      <c r="J64" s="121">
        <v>0</v>
      </c>
      <c r="K64" s="121">
        <v>0</v>
      </c>
      <c r="L64" s="121">
        <v>0</v>
      </c>
      <c r="M64" s="52"/>
      <c r="N64" s="52"/>
      <c r="O64" s="52"/>
      <c r="P64" s="52"/>
      <c r="Q64" s="52"/>
      <c r="R64" s="51"/>
      <c r="S64" s="51"/>
      <c r="T64" s="51"/>
      <c r="U64" s="53"/>
      <c r="V64" s="54">
        <f t="shared" si="40"/>
        <v>0</v>
      </c>
      <c r="W64" s="125">
        <v>0</v>
      </c>
      <c r="X64" s="125">
        <v>0</v>
      </c>
      <c r="Y64" s="125">
        <v>0</v>
      </c>
      <c r="Z64" s="125">
        <v>0</v>
      </c>
      <c r="AA64" s="125">
        <v>0</v>
      </c>
      <c r="AB64" s="55"/>
      <c r="AC64" s="125">
        <v>0</v>
      </c>
      <c r="AD64" s="125">
        <v>0</v>
      </c>
      <c r="AE64" s="125">
        <v>0</v>
      </c>
      <c r="AF64" s="55"/>
      <c r="AG64" s="125">
        <v>0</v>
      </c>
      <c r="AH64" s="125">
        <v>0</v>
      </c>
      <c r="AI64" s="125">
        <v>0</v>
      </c>
      <c r="AJ64" s="125">
        <v>0</v>
      </c>
      <c r="AK64" s="125">
        <v>0</v>
      </c>
      <c r="AL64" s="125">
        <v>0</v>
      </c>
      <c r="AM64" s="125">
        <v>0</v>
      </c>
      <c r="AN64" s="125">
        <v>0</v>
      </c>
      <c r="AO64" s="67"/>
      <c r="AP64" s="125">
        <v>0</v>
      </c>
      <c r="AQ64" s="125">
        <v>0</v>
      </c>
      <c r="AR64" s="125">
        <v>0</v>
      </c>
      <c r="AS64" s="125">
        <v>0</v>
      </c>
      <c r="AT64" s="125">
        <v>0</v>
      </c>
      <c r="AU64" s="125">
        <v>0</v>
      </c>
      <c r="AV64" s="125">
        <v>0</v>
      </c>
      <c r="AW64" s="125">
        <v>0</v>
      </c>
      <c r="AX64" s="67"/>
      <c r="AY64" s="56">
        <f t="shared" si="23"/>
        <v>0</v>
      </c>
      <c r="AZ64" s="56">
        <f t="shared" si="24"/>
        <v>0</v>
      </c>
      <c r="BA64" s="56">
        <f t="shared" si="25"/>
        <v>0</v>
      </c>
      <c r="BB64" s="56">
        <f t="shared" si="26"/>
        <v>0</v>
      </c>
      <c r="BC64" s="56">
        <f t="shared" si="27"/>
        <v>0</v>
      </c>
      <c r="BD64" s="56">
        <f t="shared" si="28"/>
        <v>0</v>
      </c>
      <c r="BE64" s="56">
        <f t="shared" si="29"/>
        <v>0</v>
      </c>
      <c r="BF64" s="56">
        <f t="shared" si="30"/>
        <v>0</v>
      </c>
      <c r="BG64" s="55"/>
      <c r="BH64" s="56">
        <f t="shared" si="31"/>
        <v>0</v>
      </c>
      <c r="BI64" s="56">
        <f t="shared" si="32"/>
        <v>0</v>
      </c>
      <c r="BJ64" s="56">
        <f t="shared" si="33"/>
        <v>0</v>
      </c>
      <c r="BK64" s="56">
        <f t="shared" si="34"/>
        <v>0</v>
      </c>
      <c r="BL64" s="56">
        <f t="shared" si="35"/>
        <v>0</v>
      </c>
      <c r="BM64" s="56">
        <f t="shared" si="36"/>
        <v>0</v>
      </c>
      <c r="BN64" s="56">
        <f t="shared" si="37"/>
        <v>0</v>
      </c>
      <c r="BO64" s="56">
        <f t="shared" si="38"/>
        <v>0</v>
      </c>
    </row>
    <row r="65" spans="1:67" ht="12.75" customHeight="1">
      <c r="A65" s="48" t="s">
        <v>149</v>
      </c>
      <c r="B65" s="49"/>
      <c r="C65" s="90">
        <f t="shared" si="39"/>
        <v>4000</v>
      </c>
      <c r="D65" s="50">
        <v>2</v>
      </c>
      <c r="E65" s="121">
        <v>0</v>
      </c>
      <c r="F65" s="121">
        <v>0</v>
      </c>
      <c r="G65" s="121">
        <v>0</v>
      </c>
      <c r="H65" s="121">
        <v>0</v>
      </c>
      <c r="I65" s="121">
        <v>0</v>
      </c>
      <c r="J65" s="121">
        <v>0</v>
      </c>
      <c r="K65" s="121">
        <v>0</v>
      </c>
      <c r="L65" s="121">
        <v>0</v>
      </c>
      <c r="M65" s="52"/>
      <c r="N65" s="52"/>
      <c r="O65" s="52"/>
      <c r="P65" s="52"/>
      <c r="Q65" s="52"/>
      <c r="R65" s="51"/>
      <c r="S65" s="51"/>
      <c r="T65" s="51"/>
      <c r="U65" s="53"/>
      <c r="V65" s="54">
        <f t="shared" si="40"/>
        <v>0</v>
      </c>
      <c r="W65" s="125">
        <v>0</v>
      </c>
      <c r="X65" s="125">
        <v>0</v>
      </c>
      <c r="Y65" s="125">
        <v>0</v>
      </c>
      <c r="Z65" s="125">
        <v>0</v>
      </c>
      <c r="AA65" s="125">
        <v>0</v>
      </c>
      <c r="AB65" s="55"/>
      <c r="AC65" s="125">
        <v>0</v>
      </c>
      <c r="AD65" s="125">
        <v>0</v>
      </c>
      <c r="AE65" s="125">
        <v>0</v>
      </c>
      <c r="AF65" s="55"/>
      <c r="AG65" s="125">
        <v>0</v>
      </c>
      <c r="AH65" s="125">
        <v>0</v>
      </c>
      <c r="AI65" s="125">
        <v>0</v>
      </c>
      <c r="AJ65" s="125">
        <v>0</v>
      </c>
      <c r="AK65" s="125">
        <v>0</v>
      </c>
      <c r="AL65" s="125">
        <v>0</v>
      </c>
      <c r="AM65" s="125">
        <v>0</v>
      </c>
      <c r="AN65" s="125">
        <v>0</v>
      </c>
      <c r="AO65" s="67"/>
      <c r="AP65" s="125">
        <v>0</v>
      </c>
      <c r="AQ65" s="125">
        <v>0</v>
      </c>
      <c r="AR65" s="125">
        <v>0</v>
      </c>
      <c r="AS65" s="125">
        <v>0</v>
      </c>
      <c r="AT65" s="125">
        <v>0</v>
      </c>
      <c r="AU65" s="125">
        <v>0</v>
      </c>
      <c r="AV65" s="125">
        <v>0</v>
      </c>
      <c r="AW65" s="125">
        <v>0</v>
      </c>
      <c r="AX65" s="67"/>
      <c r="AY65" s="56">
        <f t="shared" si="23"/>
        <v>0</v>
      </c>
      <c r="AZ65" s="56">
        <f t="shared" si="24"/>
        <v>0</v>
      </c>
      <c r="BA65" s="56">
        <f t="shared" si="25"/>
        <v>0</v>
      </c>
      <c r="BB65" s="56">
        <f t="shared" si="26"/>
        <v>0</v>
      </c>
      <c r="BC65" s="56">
        <f t="shared" si="27"/>
        <v>0</v>
      </c>
      <c r="BD65" s="56">
        <f t="shared" si="28"/>
        <v>0</v>
      </c>
      <c r="BE65" s="56">
        <f t="shared" si="29"/>
        <v>0</v>
      </c>
      <c r="BF65" s="56">
        <f t="shared" si="30"/>
        <v>0</v>
      </c>
      <c r="BG65" s="55"/>
      <c r="BH65" s="56">
        <f t="shared" si="31"/>
        <v>0</v>
      </c>
      <c r="BI65" s="56">
        <f t="shared" si="32"/>
        <v>0</v>
      </c>
      <c r="BJ65" s="56">
        <f t="shared" si="33"/>
        <v>0</v>
      </c>
      <c r="BK65" s="56">
        <f t="shared" si="34"/>
        <v>0</v>
      </c>
      <c r="BL65" s="56">
        <f t="shared" si="35"/>
        <v>0</v>
      </c>
      <c r="BM65" s="56">
        <f t="shared" si="36"/>
        <v>0</v>
      </c>
      <c r="BN65" s="56">
        <f t="shared" si="37"/>
        <v>0</v>
      </c>
      <c r="BO65" s="56">
        <f t="shared" si="38"/>
        <v>0</v>
      </c>
    </row>
    <row r="66" spans="1:67" ht="12.75" customHeight="1">
      <c r="A66" s="48" t="s">
        <v>150</v>
      </c>
      <c r="B66" s="49"/>
      <c r="C66" s="90">
        <f t="shared" si="39"/>
        <v>6000</v>
      </c>
      <c r="D66" s="50">
        <v>3</v>
      </c>
      <c r="E66" s="121">
        <v>0</v>
      </c>
      <c r="F66" s="121">
        <v>0</v>
      </c>
      <c r="G66" s="121">
        <v>0</v>
      </c>
      <c r="H66" s="121">
        <v>0</v>
      </c>
      <c r="I66" s="121">
        <v>0</v>
      </c>
      <c r="J66" s="121">
        <v>0</v>
      </c>
      <c r="K66" s="121">
        <v>0</v>
      </c>
      <c r="L66" s="121">
        <v>0</v>
      </c>
      <c r="M66" s="52"/>
      <c r="N66" s="52"/>
      <c r="O66" s="52"/>
      <c r="P66" s="52"/>
      <c r="Q66" s="52"/>
      <c r="R66" s="51"/>
      <c r="S66" s="51"/>
      <c r="T66" s="51"/>
      <c r="U66" s="53"/>
      <c r="V66" s="54">
        <f t="shared" si="40"/>
        <v>0</v>
      </c>
      <c r="W66" s="125">
        <v>0</v>
      </c>
      <c r="X66" s="125">
        <v>0</v>
      </c>
      <c r="Y66" s="125">
        <v>0</v>
      </c>
      <c r="Z66" s="125">
        <v>0</v>
      </c>
      <c r="AA66" s="125">
        <v>0</v>
      </c>
      <c r="AB66" s="55"/>
      <c r="AC66" s="125">
        <v>0</v>
      </c>
      <c r="AD66" s="125">
        <v>0</v>
      </c>
      <c r="AE66" s="125">
        <v>0</v>
      </c>
      <c r="AF66" s="55"/>
      <c r="AG66" s="125">
        <v>0</v>
      </c>
      <c r="AH66" s="125">
        <v>0</v>
      </c>
      <c r="AI66" s="125">
        <v>0</v>
      </c>
      <c r="AJ66" s="125">
        <v>0</v>
      </c>
      <c r="AK66" s="125">
        <v>0</v>
      </c>
      <c r="AL66" s="125">
        <v>0</v>
      </c>
      <c r="AM66" s="125">
        <v>0</v>
      </c>
      <c r="AN66" s="125">
        <v>0</v>
      </c>
      <c r="AO66" s="67"/>
      <c r="AP66" s="125">
        <v>0</v>
      </c>
      <c r="AQ66" s="125">
        <v>0</v>
      </c>
      <c r="AR66" s="125">
        <v>0</v>
      </c>
      <c r="AS66" s="125">
        <v>0</v>
      </c>
      <c r="AT66" s="125">
        <v>0</v>
      </c>
      <c r="AU66" s="125">
        <v>0</v>
      </c>
      <c r="AV66" s="125">
        <v>0</v>
      </c>
      <c r="AW66" s="125">
        <v>0</v>
      </c>
      <c r="AX66" s="67"/>
      <c r="AY66" s="56">
        <f t="shared" si="23"/>
        <v>0</v>
      </c>
      <c r="AZ66" s="56">
        <f t="shared" si="24"/>
        <v>0</v>
      </c>
      <c r="BA66" s="56">
        <f t="shared" si="25"/>
        <v>0</v>
      </c>
      <c r="BB66" s="56">
        <f t="shared" si="26"/>
        <v>0</v>
      </c>
      <c r="BC66" s="56">
        <f t="shared" si="27"/>
        <v>0</v>
      </c>
      <c r="BD66" s="56">
        <f t="shared" si="28"/>
        <v>0</v>
      </c>
      <c r="BE66" s="56">
        <f t="shared" si="29"/>
        <v>0</v>
      </c>
      <c r="BF66" s="56">
        <f t="shared" si="30"/>
        <v>0</v>
      </c>
      <c r="BG66" s="55"/>
      <c r="BH66" s="56">
        <f t="shared" si="31"/>
        <v>0</v>
      </c>
      <c r="BI66" s="56">
        <f t="shared" si="32"/>
        <v>0</v>
      </c>
      <c r="BJ66" s="56">
        <f t="shared" si="33"/>
        <v>0</v>
      </c>
      <c r="BK66" s="56">
        <f t="shared" si="34"/>
        <v>0</v>
      </c>
      <c r="BL66" s="56">
        <f t="shared" si="35"/>
        <v>0</v>
      </c>
      <c r="BM66" s="56">
        <f t="shared" si="36"/>
        <v>0</v>
      </c>
      <c r="BN66" s="56">
        <f t="shared" si="37"/>
        <v>0</v>
      </c>
      <c r="BO66" s="56">
        <f t="shared" si="38"/>
        <v>0</v>
      </c>
    </row>
    <row r="67" spans="1:67" ht="12.75" customHeight="1">
      <c r="A67" s="48" t="s">
        <v>151</v>
      </c>
      <c r="B67" s="49"/>
      <c r="C67" s="90">
        <f t="shared" si="39"/>
        <v>8000</v>
      </c>
      <c r="D67" s="50">
        <v>4</v>
      </c>
      <c r="E67" s="121">
        <v>0</v>
      </c>
      <c r="F67" s="121">
        <v>0</v>
      </c>
      <c r="G67" s="121">
        <v>0</v>
      </c>
      <c r="H67" s="121">
        <v>0</v>
      </c>
      <c r="I67" s="121">
        <v>0</v>
      </c>
      <c r="J67" s="121">
        <v>0</v>
      </c>
      <c r="K67" s="121">
        <v>0</v>
      </c>
      <c r="L67" s="121">
        <v>0</v>
      </c>
      <c r="M67" s="52"/>
      <c r="N67" s="52"/>
      <c r="O67" s="52"/>
      <c r="P67" s="52"/>
      <c r="Q67" s="52"/>
      <c r="R67" s="51"/>
      <c r="S67" s="51"/>
      <c r="T67" s="51"/>
      <c r="U67" s="53"/>
      <c r="V67" s="54">
        <f t="shared" si="40"/>
        <v>0</v>
      </c>
      <c r="W67" s="125">
        <v>0</v>
      </c>
      <c r="X67" s="125">
        <v>0</v>
      </c>
      <c r="Y67" s="125">
        <v>0</v>
      </c>
      <c r="Z67" s="125">
        <v>0</v>
      </c>
      <c r="AA67" s="125">
        <v>0</v>
      </c>
      <c r="AB67" s="55"/>
      <c r="AC67" s="125">
        <v>0</v>
      </c>
      <c r="AD67" s="125">
        <v>0</v>
      </c>
      <c r="AE67" s="125">
        <v>0</v>
      </c>
      <c r="AF67" s="55"/>
      <c r="AG67" s="125">
        <v>0</v>
      </c>
      <c r="AH67" s="125">
        <v>0</v>
      </c>
      <c r="AI67" s="125">
        <v>0</v>
      </c>
      <c r="AJ67" s="125">
        <v>0</v>
      </c>
      <c r="AK67" s="125">
        <v>0</v>
      </c>
      <c r="AL67" s="125">
        <v>0</v>
      </c>
      <c r="AM67" s="125">
        <v>0</v>
      </c>
      <c r="AN67" s="125">
        <v>0</v>
      </c>
      <c r="AO67" s="67"/>
      <c r="AP67" s="125">
        <v>0</v>
      </c>
      <c r="AQ67" s="125">
        <v>0</v>
      </c>
      <c r="AR67" s="125">
        <v>0</v>
      </c>
      <c r="AS67" s="125">
        <v>0</v>
      </c>
      <c r="AT67" s="125">
        <v>0</v>
      </c>
      <c r="AU67" s="125">
        <v>0</v>
      </c>
      <c r="AV67" s="125">
        <v>0</v>
      </c>
      <c r="AW67" s="125">
        <v>0</v>
      </c>
      <c r="AX67" s="67"/>
      <c r="AY67" s="56">
        <f t="shared" si="23"/>
        <v>0</v>
      </c>
      <c r="AZ67" s="56">
        <f t="shared" si="24"/>
        <v>0</v>
      </c>
      <c r="BA67" s="56">
        <f t="shared" si="25"/>
        <v>0</v>
      </c>
      <c r="BB67" s="56">
        <f t="shared" si="26"/>
        <v>0</v>
      </c>
      <c r="BC67" s="56">
        <f t="shared" si="27"/>
        <v>0</v>
      </c>
      <c r="BD67" s="56">
        <f t="shared" si="28"/>
        <v>0</v>
      </c>
      <c r="BE67" s="56">
        <f t="shared" si="29"/>
        <v>0</v>
      </c>
      <c r="BF67" s="56">
        <f t="shared" si="30"/>
        <v>0</v>
      </c>
      <c r="BG67" s="55"/>
      <c r="BH67" s="56">
        <f t="shared" si="31"/>
        <v>0</v>
      </c>
      <c r="BI67" s="56">
        <f t="shared" si="32"/>
        <v>0</v>
      </c>
      <c r="BJ67" s="56">
        <f t="shared" si="33"/>
        <v>0</v>
      </c>
      <c r="BK67" s="56">
        <f t="shared" si="34"/>
        <v>0</v>
      </c>
      <c r="BL67" s="56">
        <f t="shared" si="35"/>
        <v>0</v>
      </c>
      <c r="BM67" s="56">
        <f t="shared" si="36"/>
        <v>0</v>
      </c>
      <c r="BN67" s="56">
        <f t="shared" si="37"/>
        <v>0</v>
      </c>
      <c r="BO67" s="56">
        <f t="shared" si="38"/>
        <v>0</v>
      </c>
    </row>
    <row r="68" spans="1:67" ht="12.75">
      <c r="A68" s="81" t="s">
        <v>173</v>
      </c>
      <c r="B68" s="48"/>
      <c r="C68" s="90">
        <f t="shared" si="39"/>
        <v>2000</v>
      </c>
      <c r="D68" s="50">
        <v>1</v>
      </c>
      <c r="E68" s="77"/>
      <c r="F68" s="77"/>
      <c r="G68" s="77"/>
      <c r="H68" s="77"/>
      <c r="I68" s="77"/>
      <c r="J68" s="77"/>
      <c r="K68" s="77"/>
      <c r="L68" s="77"/>
      <c r="M68" s="59"/>
      <c r="N68" s="59"/>
      <c r="O68" s="59"/>
      <c r="P68" s="59"/>
      <c r="Q68" s="59"/>
      <c r="R68" s="77"/>
      <c r="S68" s="77"/>
      <c r="T68" s="77"/>
      <c r="U68" s="51"/>
      <c r="V68" s="54">
        <f aca="true" t="shared" si="45" ref="V68:V79">T68*U68</f>
        <v>0</v>
      </c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80"/>
      <c r="AH68" s="80"/>
      <c r="AI68" s="80"/>
      <c r="AJ68" s="80"/>
      <c r="AK68" s="80"/>
      <c r="AL68" s="80"/>
      <c r="AM68" s="80"/>
      <c r="AN68" s="80"/>
      <c r="AO68" s="55"/>
      <c r="AP68" s="80"/>
      <c r="AQ68" s="80"/>
      <c r="AR68" s="80"/>
      <c r="AS68" s="80"/>
      <c r="AT68" s="80"/>
      <c r="AU68" s="80"/>
      <c r="AV68" s="80"/>
      <c r="AW68" s="80"/>
      <c r="AX68" s="80"/>
      <c r="AY68" s="56">
        <f aca="true" t="shared" si="46" ref="AY68:AY79">IF(E68="","",E68*AG68)</f>
      </c>
      <c r="AZ68" s="56">
        <f aca="true" t="shared" si="47" ref="AZ68:AZ79">IF(F68="","",F68*AH68)</f>
      </c>
      <c r="BA68" s="56">
        <f aca="true" t="shared" si="48" ref="BA68:BA79">IF(G68="","",G68*AI68)</f>
      </c>
      <c r="BB68" s="56">
        <f aca="true" t="shared" si="49" ref="BB68:BB79">IF(H68="","",H68*AJ68)</f>
      </c>
      <c r="BC68" s="56">
        <f aca="true" t="shared" si="50" ref="BC68:BC79">IF(I68="","",I68*AK68)</f>
      </c>
      <c r="BD68" s="56">
        <f aca="true" t="shared" si="51" ref="BD68:BD79">IF(J68="","",J68*AL68)</f>
      </c>
      <c r="BE68" s="56">
        <f aca="true" t="shared" si="52" ref="BE68:BE79">IF(K68="","",K68*AM68)</f>
      </c>
      <c r="BF68" s="56">
        <f aca="true" t="shared" si="53" ref="BF68:BF79">IF(L68="","",L68*AN68)</f>
      </c>
      <c r="BG68" s="55"/>
      <c r="BH68" s="56">
        <f aca="true" t="shared" si="54" ref="BH68:BH79">IF(E68="","",E68*AP68)</f>
      </c>
      <c r="BI68" s="56">
        <f aca="true" t="shared" si="55" ref="BI68:BI79">IF(F68="","",F68*AQ68)</f>
      </c>
      <c r="BJ68" s="56">
        <f aca="true" t="shared" si="56" ref="BJ68:BJ79">IF(G68="","",G68*AR68)</f>
      </c>
      <c r="BK68" s="56">
        <f aca="true" t="shared" si="57" ref="BK68:BK79">IF(H68="","",H68*AS68)</f>
      </c>
      <c r="BL68" s="56">
        <f aca="true" t="shared" si="58" ref="BL68:BL79">IF(I68="","",I68*AT68)</f>
      </c>
      <c r="BM68" s="56">
        <f aca="true" t="shared" si="59" ref="BM68:BM79">IF(J68="","",J68*AU68)</f>
      </c>
      <c r="BN68" s="56">
        <f aca="true" t="shared" si="60" ref="BN68:BN79">IF(K68="","",K68*AV68)</f>
      </c>
      <c r="BO68" s="56">
        <f aca="true" t="shared" si="61" ref="BO68:BO79">IF(L68="","",L68*AW68)</f>
      </c>
    </row>
    <row r="69" spans="1:67" ht="12.75">
      <c r="A69" s="81" t="s">
        <v>174</v>
      </c>
      <c r="B69" s="48"/>
      <c r="C69" s="90">
        <f t="shared" si="39"/>
        <v>800</v>
      </c>
      <c r="D69" s="50">
        <v>0.4</v>
      </c>
      <c r="E69" s="77"/>
      <c r="F69" s="77"/>
      <c r="G69" s="77"/>
      <c r="H69" s="77"/>
      <c r="I69" s="77"/>
      <c r="J69" s="77"/>
      <c r="K69" s="77"/>
      <c r="L69" s="77"/>
      <c r="M69" s="59"/>
      <c r="N69" s="59"/>
      <c r="O69" s="59"/>
      <c r="P69" s="59"/>
      <c r="Q69" s="59"/>
      <c r="R69" s="77"/>
      <c r="S69" s="77"/>
      <c r="T69" s="77"/>
      <c r="U69" s="51"/>
      <c r="V69" s="54">
        <f t="shared" si="45"/>
        <v>0</v>
      </c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80"/>
      <c r="AH69" s="80"/>
      <c r="AI69" s="80"/>
      <c r="AJ69" s="80"/>
      <c r="AK69" s="80"/>
      <c r="AL69" s="80"/>
      <c r="AM69" s="80"/>
      <c r="AN69" s="80"/>
      <c r="AO69" s="55"/>
      <c r="AP69" s="80"/>
      <c r="AQ69" s="80"/>
      <c r="AR69" s="80"/>
      <c r="AS69" s="80"/>
      <c r="AT69" s="80"/>
      <c r="AU69" s="80"/>
      <c r="AV69" s="80"/>
      <c r="AW69" s="80"/>
      <c r="AX69" s="80"/>
      <c r="AY69" s="56">
        <f t="shared" si="46"/>
      </c>
      <c r="AZ69" s="56">
        <f t="shared" si="47"/>
      </c>
      <c r="BA69" s="56">
        <f t="shared" si="48"/>
      </c>
      <c r="BB69" s="56">
        <f t="shared" si="49"/>
      </c>
      <c r="BC69" s="56">
        <f t="shared" si="50"/>
      </c>
      <c r="BD69" s="56">
        <f t="shared" si="51"/>
      </c>
      <c r="BE69" s="56">
        <f t="shared" si="52"/>
      </c>
      <c r="BF69" s="56">
        <f t="shared" si="53"/>
      </c>
      <c r="BG69" s="55"/>
      <c r="BH69" s="56">
        <f t="shared" si="54"/>
      </c>
      <c r="BI69" s="56">
        <f t="shared" si="55"/>
      </c>
      <c r="BJ69" s="56">
        <f t="shared" si="56"/>
      </c>
      <c r="BK69" s="56">
        <f t="shared" si="57"/>
      </c>
      <c r="BL69" s="56">
        <f t="shared" si="58"/>
      </c>
      <c r="BM69" s="56">
        <f t="shared" si="59"/>
      </c>
      <c r="BN69" s="56">
        <f t="shared" si="60"/>
      </c>
      <c r="BO69" s="56">
        <f t="shared" si="61"/>
      </c>
    </row>
    <row r="70" spans="1:67" ht="12.75">
      <c r="A70" s="81" t="s">
        <v>175</v>
      </c>
      <c r="B70" s="48"/>
      <c r="C70" s="90">
        <f t="shared" si="39"/>
        <v>800</v>
      </c>
      <c r="D70" s="50">
        <v>0.4</v>
      </c>
      <c r="E70" s="77">
        <v>3.07</v>
      </c>
      <c r="F70" s="77">
        <v>1.09</v>
      </c>
      <c r="G70" s="77">
        <v>1.91</v>
      </c>
      <c r="H70" s="77">
        <v>1.36</v>
      </c>
      <c r="I70" s="77">
        <v>0.29</v>
      </c>
      <c r="J70" s="77">
        <v>1.77</v>
      </c>
      <c r="K70" s="77">
        <v>0.34</v>
      </c>
      <c r="L70" s="77">
        <v>1.24</v>
      </c>
      <c r="M70" s="59">
        <v>3049.0727361641225</v>
      </c>
      <c r="N70" s="59">
        <v>2286.0982126669846</v>
      </c>
      <c r="O70" s="59">
        <v>2281.765476502863</v>
      </c>
      <c r="P70" s="59">
        <v>3275.183013676845</v>
      </c>
      <c r="Q70" s="59">
        <v>2049.173776538645</v>
      </c>
      <c r="R70" s="77">
        <v>29.11460064408397</v>
      </c>
      <c r="S70" s="77">
        <v>3.1449075447280532</v>
      </c>
      <c r="T70" s="77">
        <v>1.7250382043177481</v>
      </c>
      <c r="U70" s="51">
        <v>0.92</v>
      </c>
      <c r="V70" s="54">
        <f t="shared" si="45"/>
        <v>1.5870351479723284</v>
      </c>
      <c r="W70" s="55">
        <v>3</v>
      </c>
      <c r="X70" s="55"/>
      <c r="Y70" s="55">
        <v>0.5</v>
      </c>
      <c r="Z70" s="55">
        <v>36</v>
      </c>
      <c r="AA70" s="77">
        <v>1.16676</v>
      </c>
      <c r="AB70" s="77">
        <v>2.3826</v>
      </c>
      <c r="AC70" s="77">
        <v>1.446367438573473</v>
      </c>
      <c r="AD70" s="55">
        <v>1134</v>
      </c>
      <c r="AE70" s="55"/>
      <c r="AF70" s="55"/>
      <c r="AG70" s="129">
        <f>AY70/E70</f>
        <v>0.9609120521172639</v>
      </c>
      <c r="AH70" s="129">
        <f aca="true" t="shared" si="62" ref="AH70:AN73">AZ70/F70</f>
        <v>0.9244443240291685</v>
      </c>
      <c r="AI70" s="129">
        <f t="shared" si="62"/>
        <v>0.922275239754856</v>
      </c>
      <c r="AJ70" s="129">
        <f t="shared" si="62"/>
        <v>0.9701166156956877</v>
      </c>
      <c r="AK70" s="129">
        <f>(BC70-BB70)/I70</f>
        <v>0.8688496160996318</v>
      </c>
      <c r="AL70" s="129">
        <f t="shared" si="62"/>
        <v>0.9201343404473682</v>
      </c>
      <c r="AM70" s="129">
        <f t="shared" si="62"/>
        <v>0.8749498710779636</v>
      </c>
      <c r="AN70" s="129">
        <f t="shared" si="62"/>
        <v>0.9111956881992966</v>
      </c>
      <c r="AO70" s="55"/>
      <c r="AP70" s="80"/>
      <c r="AQ70" s="80"/>
      <c r="AR70" s="80"/>
      <c r="AS70" s="80"/>
      <c r="AT70" s="80"/>
      <c r="AU70" s="80"/>
      <c r="AV70" s="80"/>
      <c r="AW70" s="80"/>
      <c r="AX70" s="80"/>
      <c r="AY70" s="56">
        <v>2.95</v>
      </c>
      <c r="AZ70" s="56">
        <v>1.0076443131917938</v>
      </c>
      <c r="BA70" s="56">
        <v>1.761545707931775</v>
      </c>
      <c r="BB70" s="56">
        <v>1.3193585973461355</v>
      </c>
      <c r="BC70" s="56">
        <v>1.5713249860150287</v>
      </c>
      <c r="BD70" s="56">
        <v>1.6286377825918417</v>
      </c>
      <c r="BE70" s="56">
        <v>0.29748295616650766</v>
      </c>
      <c r="BF70" s="56">
        <v>1.1298826533671278</v>
      </c>
      <c r="BG70" s="55"/>
      <c r="BH70" s="56">
        <v>2.8367426198115457</v>
      </c>
      <c r="BI70" s="56">
        <v>0.9422270185830153</v>
      </c>
      <c r="BJ70" s="56">
        <v>1.6600202920801528</v>
      </c>
      <c r="BK70" s="56">
        <v>1.284754936235687</v>
      </c>
      <c r="BL70" s="56">
        <v>1.5042149846851143</v>
      </c>
      <c r="BM70" s="56">
        <v>1.5829478930403151</v>
      </c>
      <c r="BN70" s="56">
        <v>0.2679730744572997</v>
      </c>
      <c r="BO70" s="56">
        <v>1.0406803339945134</v>
      </c>
    </row>
    <row r="71" spans="1:67" ht="12.75">
      <c r="A71" s="81" t="s">
        <v>176</v>
      </c>
      <c r="B71" s="48"/>
      <c r="C71" s="90">
        <f t="shared" si="39"/>
        <v>800</v>
      </c>
      <c r="D71" s="50">
        <v>0.4</v>
      </c>
      <c r="E71" s="77">
        <v>3.13</v>
      </c>
      <c r="F71" s="77">
        <v>1.19</v>
      </c>
      <c r="G71" s="77">
        <v>2.07</v>
      </c>
      <c r="H71" s="77">
        <v>1.32</v>
      </c>
      <c r="I71" s="77">
        <v>0.36</v>
      </c>
      <c r="J71" s="77">
        <v>1.83</v>
      </c>
      <c r="K71" s="77">
        <v>0.33</v>
      </c>
      <c r="L71" s="77">
        <v>1.3</v>
      </c>
      <c r="M71" s="59">
        <v>2965.9145674300253</v>
      </c>
      <c r="N71" s="59">
        <v>2304.3335957379136</v>
      </c>
      <c r="O71" s="59">
        <v>2299.0815283078887</v>
      </c>
      <c r="P71" s="59">
        <v>3178.6141261132316</v>
      </c>
      <c r="Q71" s="59">
        <v>2025.6006321564885</v>
      </c>
      <c r="R71" s="77">
        <v>28.973285941475833</v>
      </c>
      <c r="S71" s="77">
        <v>3.1479214774173028</v>
      </c>
      <c r="T71" s="77">
        <v>1.7181038088422391</v>
      </c>
      <c r="U71" s="51">
        <v>0.925</v>
      </c>
      <c r="V71" s="54">
        <f t="shared" si="45"/>
        <v>1.5892460231790713</v>
      </c>
      <c r="W71" s="55">
        <v>2.8</v>
      </c>
      <c r="X71" s="55"/>
      <c r="Y71" s="55">
        <v>0.5</v>
      </c>
      <c r="Z71" s="55">
        <v>36</v>
      </c>
      <c r="AA71" s="77">
        <v>1.163075</v>
      </c>
      <c r="AB71" s="77">
        <v>2.0474125</v>
      </c>
      <c r="AC71" s="77">
        <v>1.440318948791349</v>
      </c>
      <c r="AD71" s="55">
        <v>1134</v>
      </c>
      <c r="AE71" s="55"/>
      <c r="AF71" s="55"/>
      <c r="AG71" s="129">
        <f>AY71/E71</f>
        <v>0.9488817891373803</v>
      </c>
      <c r="AH71" s="129">
        <f t="shared" si="62"/>
        <v>0.8963199411443968</v>
      </c>
      <c r="AI71" s="129">
        <f t="shared" si="62"/>
        <v>0.9098906831968878</v>
      </c>
      <c r="AJ71" s="129">
        <f t="shared" si="62"/>
        <v>0.9624783296346094</v>
      </c>
      <c r="AK71" s="129">
        <f>(BC71-BB71)/I71</f>
        <v>0.8573025560149846</v>
      </c>
      <c r="AL71" s="129">
        <f t="shared" si="62"/>
        <v>0.9008697282272418</v>
      </c>
      <c r="AM71" s="129">
        <f t="shared" si="62"/>
        <v>0.8650753599930604</v>
      </c>
      <c r="AN71" s="129">
        <f t="shared" si="62"/>
        <v>0.8780696196051087</v>
      </c>
      <c r="AO71" s="55"/>
      <c r="AP71" s="80"/>
      <c r="AQ71" s="80"/>
      <c r="AR71" s="80"/>
      <c r="AS71" s="80"/>
      <c r="AT71" s="80"/>
      <c r="AU71" s="80"/>
      <c r="AV71" s="80"/>
      <c r="AW71" s="80"/>
      <c r="AX71" s="80"/>
      <c r="AY71" s="56">
        <v>2.97</v>
      </c>
      <c r="AZ71" s="56">
        <v>1.0666207299618322</v>
      </c>
      <c r="BA71" s="56">
        <v>1.8834737142175577</v>
      </c>
      <c r="BB71" s="56">
        <v>1.2704713951176845</v>
      </c>
      <c r="BC71" s="56">
        <v>1.579100315283079</v>
      </c>
      <c r="BD71" s="56">
        <v>1.6485916026558525</v>
      </c>
      <c r="BE71" s="56">
        <v>0.28547486879770995</v>
      </c>
      <c r="BF71" s="56">
        <v>1.1414905054866413</v>
      </c>
      <c r="BG71" s="55"/>
      <c r="BH71" s="56">
        <v>2.8651136919529265</v>
      </c>
      <c r="BI71" s="56">
        <v>1.0173576542620868</v>
      </c>
      <c r="BJ71" s="56">
        <v>1.8075811259541987</v>
      </c>
      <c r="BK71" s="56">
        <v>1.2444790251272266</v>
      </c>
      <c r="BL71" s="56">
        <v>1.5268877194656492</v>
      </c>
      <c r="BM71" s="56">
        <v>1.6076488847805346</v>
      </c>
      <c r="BN71" s="56">
        <v>0.2601235221851146</v>
      </c>
      <c r="BO71" s="56">
        <v>1.0769325985209925</v>
      </c>
    </row>
    <row r="72" spans="1:67" ht="12.75">
      <c r="A72" s="81" t="s">
        <v>177</v>
      </c>
      <c r="B72" s="48"/>
      <c r="C72" s="90">
        <f t="shared" si="39"/>
        <v>800</v>
      </c>
      <c r="D72" s="50">
        <v>0.4</v>
      </c>
      <c r="E72" s="77">
        <v>3.12</v>
      </c>
      <c r="F72" s="77">
        <v>0.93</v>
      </c>
      <c r="G72" s="77">
        <v>2.38</v>
      </c>
      <c r="H72" s="77">
        <v>1.3</v>
      </c>
      <c r="I72" s="77">
        <v>0.33</v>
      </c>
      <c r="J72" s="77">
        <v>1.8</v>
      </c>
      <c r="K72" s="77">
        <v>0.34</v>
      </c>
      <c r="L72" s="77">
        <v>1.5</v>
      </c>
      <c r="M72" s="59">
        <v>2860.066298505089</v>
      </c>
      <c r="N72" s="59">
        <v>2255.6017257076974</v>
      </c>
      <c r="O72" s="59">
        <v>2253.332927202608</v>
      </c>
      <c r="P72" s="59">
        <v>3055.9931393129773</v>
      </c>
      <c r="Q72" s="59">
        <v>1954.61561098521</v>
      </c>
      <c r="R72" s="77">
        <v>27.952566420165393</v>
      </c>
      <c r="S72" s="77">
        <v>3.2212305615855596</v>
      </c>
      <c r="T72" s="77">
        <v>1.720721065322837</v>
      </c>
      <c r="U72" s="51">
        <v>0.935</v>
      </c>
      <c r="V72" s="54">
        <f t="shared" si="45"/>
        <v>1.6088741960768527</v>
      </c>
      <c r="W72" s="55">
        <v>1.9</v>
      </c>
      <c r="X72" s="55"/>
      <c r="Y72" s="55">
        <v>0.6</v>
      </c>
      <c r="Z72" s="55">
        <v>36</v>
      </c>
      <c r="AA72" s="77">
        <v>1.1585900000000002</v>
      </c>
      <c r="AB72" s="77">
        <v>2.08145</v>
      </c>
      <c r="AC72" s="77">
        <v>1.4111131176447202</v>
      </c>
      <c r="AD72" s="55">
        <v>1134</v>
      </c>
      <c r="AE72" s="55"/>
      <c r="AF72" s="55"/>
      <c r="AG72" s="129">
        <f>AY72/E72</f>
        <v>0.9487179487179487</v>
      </c>
      <c r="AH72" s="129">
        <f t="shared" si="62"/>
        <v>0.8896605126251743</v>
      </c>
      <c r="AI72" s="129">
        <f t="shared" si="62"/>
        <v>0.9053333028146853</v>
      </c>
      <c r="AJ72" s="129">
        <f t="shared" si="62"/>
        <v>0.9686010619754967</v>
      </c>
      <c r="AK72" s="129">
        <f>(BC72-BB72)/I72</f>
        <v>0.8808209998602441</v>
      </c>
      <c r="AL72" s="129">
        <f t="shared" si="62"/>
        <v>0.9115422720912408</v>
      </c>
      <c r="AM72" s="129">
        <f t="shared" si="62"/>
        <v>0.8831942146455434</v>
      </c>
      <c r="AN72" s="129">
        <f t="shared" si="62"/>
        <v>0.8771541937396629</v>
      </c>
      <c r="AO72" s="55"/>
      <c r="AP72" s="80"/>
      <c r="AQ72" s="80"/>
      <c r="AR72" s="80"/>
      <c r="AS72" s="80"/>
      <c r="AT72" s="80"/>
      <c r="AU72" s="80"/>
      <c r="AV72" s="80"/>
      <c r="AW72" s="80"/>
      <c r="AX72" s="80"/>
      <c r="AY72" s="56">
        <v>2.96</v>
      </c>
      <c r="AZ72" s="56">
        <v>0.8273842767414121</v>
      </c>
      <c r="BA72" s="56">
        <v>2.154693260698951</v>
      </c>
      <c r="BB72" s="56">
        <v>1.2591813805681458</v>
      </c>
      <c r="BC72" s="56">
        <v>1.5498523105220263</v>
      </c>
      <c r="BD72" s="56">
        <v>1.6407760897642336</v>
      </c>
      <c r="BE72" s="56">
        <v>0.30028603297948475</v>
      </c>
      <c r="BF72" s="56">
        <v>1.3157312906094942</v>
      </c>
      <c r="BG72" s="55"/>
      <c r="BH72" s="56">
        <v>2.871404726522742</v>
      </c>
      <c r="BI72" s="56">
        <v>0.7926366055423029</v>
      </c>
      <c r="BJ72" s="56">
        <v>2.1005936783396946</v>
      </c>
      <c r="BK72" s="56">
        <v>1.2394108160702926</v>
      </c>
      <c r="BL72" s="56">
        <v>1.5093162743797712</v>
      </c>
      <c r="BM72" s="56">
        <v>1.5909724209506202</v>
      </c>
      <c r="BN72" s="56">
        <v>0.2776876987416508</v>
      </c>
      <c r="BO72" s="56">
        <v>1.2724110040422234</v>
      </c>
    </row>
    <row r="73" spans="1:67" ht="12.75">
      <c r="A73" s="81" t="s">
        <v>178</v>
      </c>
      <c r="B73" s="48"/>
      <c r="C73" s="90">
        <f t="shared" si="39"/>
        <v>800</v>
      </c>
      <c r="D73" s="50">
        <v>0.4</v>
      </c>
      <c r="E73" s="77">
        <v>3.09</v>
      </c>
      <c r="F73" s="77">
        <v>0.85</v>
      </c>
      <c r="G73" s="77">
        <v>2.23</v>
      </c>
      <c r="H73" s="77">
        <v>1.35</v>
      </c>
      <c r="I73" s="77">
        <v>0.27</v>
      </c>
      <c r="J73" s="77">
        <v>1.75</v>
      </c>
      <c r="K73" s="77">
        <v>0.35</v>
      </c>
      <c r="L73" s="77">
        <v>1.45</v>
      </c>
      <c r="M73" s="59">
        <v>2942.9297709923667</v>
      </c>
      <c r="N73" s="59">
        <v>2235.1525286259543</v>
      </c>
      <c r="O73" s="59">
        <v>2233.3477576335877</v>
      </c>
      <c r="P73" s="59">
        <v>3153.7658118638674</v>
      </c>
      <c r="Q73" s="59">
        <v>1977.9384780534351</v>
      </c>
      <c r="R73" s="77">
        <v>28.360842557251903</v>
      </c>
      <c r="S73" s="77">
        <v>3.2440755248091606</v>
      </c>
      <c r="T73" s="77">
        <v>1.741401097328244</v>
      </c>
      <c r="U73" s="51">
        <v>0.93</v>
      </c>
      <c r="V73" s="54">
        <f t="shared" si="45"/>
        <v>1.6195030205152672</v>
      </c>
      <c r="W73" s="55">
        <v>2.1</v>
      </c>
      <c r="X73" s="55"/>
      <c r="Y73" s="55">
        <v>0.6</v>
      </c>
      <c r="Z73" s="55">
        <v>36</v>
      </c>
      <c r="AA73" s="77">
        <v>1.164175</v>
      </c>
      <c r="AB73" s="77">
        <v>2.4191374999999997</v>
      </c>
      <c r="AC73" s="77">
        <v>1.4187716125954195</v>
      </c>
      <c r="AD73" s="55">
        <v>1134</v>
      </c>
      <c r="AE73" s="55"/>
      <c r="AF73" s="55"/>
      <c r="AG73" s="129">
        <f>AY73/E73</f>
        <v>0.9579288025889968</v>
      </c>
      <c r="AH73" s="129">
        <f t="shared" si="62"/>
        <v>0.9165250134710369</v>
      </c>
      <c r="AI73" s="129">
        <f t="shared" si="62"/>
        <v>0.9189408563824325</v>
      </c>
      <c r="AJ73" s="129">
        <f t="shared" si="62"/>
        <v>0.9744903905145602</v>
      </c>
      <c r="AK73" s="129">
        <f>(BC73-BB73)/I73</f>
        <v>0.8727248162284412</v>
      </c>
      <c r="AL73" s="129">
        <f t="shared" si="62"/>
        <v>0.9320385089967284</v>
      </c>
      <c r="AM73" s="129">
        <f t="shared" si="62"/>
        <v>0.8998321019629225</v>
      </c>
      <c r="AN73" s="129">
        <f t="shared" si="62"/>
        <v>0.9077908906949197</v>
      </c>
      <c r="AO73" s="55"/>
      <c r="AP73" s="80"/>
      <c r="AQ73" s="80"/>
      <c r="AR73" s="80"/>
      <c r="AS73" s="80"/>
      <c r="AT73" s="80"/>
      <c r="AU73" s="80"/>
      <c r="AV73" s="80"/>
      <c r="AW73" s="80"/>
      <c r="AX73" s="80"/>
      <c r="AY73" s="56">
        <v>2.96</v>
      </c>
      <c r="AZ73" s="56">
        <v>0.7790462614503814</v>
      </c>
      <c r="BA73" s="56">
        <v>2.0492381097328245</v>
      </c>
      <c r="BB73" s="56">
        <v>1.3155620271946564</v>
      </c>
      <c r="BC73" s="56">
        <v>1.5511977275763356</v>
      </c>
      <c r="BD73" s="56">
        <v>1.6310673907442745</v>
      </c>
      <c r="BE73" s="56">
        <v>0.31494123568702287</v>
      </c>
      <c r="BF73" s="56">
        <v>1.3162967915076336</v>
      </c>
      <c r="BG73" s="55"/>
      <c r="BH73" s="56">
        <v>2.8632625391221374</v>
      </c>
      <c r="BI73" s="56">
        <v>0.7273682213740456</v>
      </c>
      <c r="BJ73" s="56">
        <v>1.9683607137404577</v>
      </c>
      <c r="BK73" s="56">
        <v>1.286686711832061</v>
      </c>
      <c r="BL73" s="56">
        <v>1.4949251603053435</v>
      </c>
      <c r="BM73" s="56">
        <v>1.5763261283396943</v>
      </c>
      <c r="BN73" s="56">
        <v>0.2878875319656488</v>
      </c>
      <c r="BO73" s="56">
        <v>1.24729300620229</v>
      </c>
    </row>
    <row r="74" spans="1:67" ht="12.75">
      <c r="A74" s="81" t="s">
        <v>179</v>
      </c>
      <c r="B74" s="48"/>
      <c r="C74" s="90">
        <f aca="true" t="shared" si="63" ref="C74:C79">D74*2000</f>
        <v>130</v>
      </c>
      <c r="D74" s="50">
        <v>0.065</v>
      </c>
      <c r="E74" s="77">
        <v>0.78</v>
      </c>
      <c r="F74" s="77">
        <v>1.01</v>
      </c>
      <c r="G74" s="77">
        <v>3.17</v>
      </c>
      <c r="H74" s="77">
        <v>0.55</v>
      </c>
      <c r="I74" s="110">
        <v>0.55</v>
      </c>
      <c r="J74" s="77">
        <v>1.06</v>
      </c>
      <c r="K74" s="77">
        <v>0.21</v>
      </c>
      <c r="L74" s="77">
        <v>1.35</v>
      </c>
      <c r="M74" s="84">
        <v>3420</v>
      </c>
      <c r="N74" s="84"/>
      <c r="O74" s="84"/>
      <c r="P74" s="84">
        <v>3525</v>
      </c>
      <c r="Q74" s="59"/>
      <c r="R74" s="77">
        <v>27.2</v>
      </c>
      <c r="S74" s="77">
        <v>0.03</v>
      </c>
      <c r="T74" s="77">
        <v>0.71</v>
      </c>
      <c r="U74" s="130">
        <v>0.77</v>
      </c>
      <c r="V74" s="54">
        <f t="shared" si="45"/>
        <v>0.5467</v>
      </c>
      <c r="W74" s="55">
        <v>10.7</v>
      </c>
      <c r="X74" s="108">
        <f>0.59*W74</f>
        <v>6.312999999999999</v>
      </c>
      <c r="Y74" s="55"/>
      <c r="Z74" s="55"/>
      <c r="AA74" s="109">
        <v>0.25</v>
      </c>
      <c r="AB74" s="109">
        <v>0.2</v>
      </c>
      <c r="AC74" s="109">
        <v>0.84</v>
      </c>
      <c r="AD74" s="126">
        <v>0</v>
      </c>
      <c r="AE74" s="109">
        <f>125*W74/10</f>
        <v>133.75</v>
      </c>
      <c r="AF74" s="55"/>
      <c r="AG74" s="80">
        <v>0.623</v>
      </c>
      <c r="AH74" s="80">
        <v>0.752</v>
      </c>
      <c r="AI74" s="80">
        <v>0.834</v>
      </c>
      <c r="AJ74" s="80">
        <v>0.819</v>
      </c>
      <c r="AK74" s="131">
        <v>0.819</v>
      </c>
      <c r="AL74" s="80">
        <v>0.707</v>
      </c>
      <c r="AM74" s="80">
        <v>0.699</v>
      </c>
      <c r="AN74" s="80">
        <v>0.745</v>
      </c>
      <c r="AO74" s="55"/>
      <c r="AP74" s="131">
        <f>AG74/AG8*AP8</f>
        <v>0.5271538461538461</v>
      </c>
      <c r="AQ74" s="131">
        <f aca="true" t="shared" si="64" ref="AQ74:AW74">AH74/AH8*AQ8</f>
        <v>0.6828505747126437</v>
      </c>
      <c r="AR74" s="131">
        <f t="shared" si="64"/>
        <v>0.7977391304347825</v>
      </c>
      <c r="AS74" s="131">
        <f t="shared" si="64"/>
        <v>0.7826</v>
      </c>
      <c r="AT74" s="131">
        <f t="shared" si="64"/>
        <v>0.7428139534883721</v>
      </c>
      <c r="AU74" s="131">
        <f t="shared" si="64"/>
        <v>0.5949146341463414</v>
      </c>
      <c r="AV74" s="131">
        <f t="shared" si="64"/>
        <v>0.5325714285714286</v>
      </c>
      <c r="AW74" s="131">
        <f t="shared" si="64"/>
        <v>0.6764942528735632</v>
      </c>
      <c r="AX74" s="80"/>
      <c r="AY74" s="56">
        <f t="shared" si="46"/>
        <v>0.48594000000000004</v>
      </c>
      <c r="AZ74" s="56">
        <f t="shared" si="47"/>
        <v>0.75952</v>
      </c>
      <c r="BA74" s="56">
        <f t="shared" si="48"/>
        <v>2.64378</v>
      </c>
      <c r="BB74" s="56">
        <f t="shared" si="49"/>
        <v>0.45045</v>
      </c>
      <c r="BC74" s="56">
        <f t="shared" si="50"/>
        <v>0.45045</v>
      </c>
      <c r="BD74" s="56">
        <f t="shared" si="51"/>
        <v>0.74942</v>
      </c>
      <c r="BE74" s="56">
        <f t="shared" si="52"/>
        <v>0.14678999999999998</v>
      </c>
      <c r="BF74" s="56">
        <f t="shared" si="53"/>
        <v>1.0057500000000001</v>
      </c>
      <c r="BG74" s="55"/>
      <c r="BH74" s="56">
        <f t="shared" si="54"/>
        <v>0.41117999999999993</v>
      </c>
      <c r="BI74" s="56">
        <f t="shared" si="55"/>
        <v>0.6896790804597701</v>
      </c>
      <c r="BJ74" s="56">
        <f t="shared" si="56"/>
        <v>2.5288330434782607</v>
      </c>
      <c r="BK74" s="56">
        <f t="shared" si="57"/>
        <v>0.43043000000000003</v>
      </c>
      <c r="BL74" s="56">
        <f t="shared" si="58"/>
        <v>0.4085476744186047</v>
      </c>
      <c r="BM74" s="56">
        <f t="shared" si="59"/>
        <v>0.6306095121951218</v>
      </c>
      <c r="BN74" s="56">
        <f t="shared" si="60"/>
        <v>0.11184</v>
      </c>
      <c r="BO74" s="56">
        <f t="shared" si="61"/>
        <v>0.9132672413793105</v>
      </c>
    </row>
    <row r="75" spans="1:67" ht="12.75">
      <c r="A75" s="81" t="s">
        <v>98</v>
      </c>
      <c r="B75" s="48"/>
      <c r="C75" s="90">
        <f t="shared" si="63"/>
        <v>0</v>
      </c>
      <c r="D75" s="50">
        <v>0</v>
      </c>
      <c r="E75" s="77"/>
      <c r="F75" s="77"/>
      <c r="G75" s="77"/>
      <c r="H75" s="77"/>
      <c r="I75" s="77"/>
      <c r="J75" s="77"/>
      <c r="K75" s="77"/>
      <c r="L75" s="77"/>
      <c r="M75" s="59"/>
      <c r="N75" s="59"/>
      <c r="O75" s="59"/>
      <c r="P75" s="59"/>
      <c r="Q75" s="59"/>
      <c r="R75" s="77"/>
      <c r="S75" s="77"/>
      <c r="T75" s="77"/>
      <c r="U75" s="51"/>
      <c r="V75" s="54">
        <f t="shared" si="45"/>
        <v>0</v>
      </c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80"/>
      <c r="AH75" s="80"/>
      <c r="AI75" s="80"/>
      <c r="AJ75" s="80"/>
      <c r="AK75" s="80"/>
      <c r="AL75" s="80"/>
      <c r="AM75" s="80"/>
      <c r="AN75" s="80"/>
      <c r="AO75" s="55"/>
      <c r="AP75" s="80"/>
      <c r="AQ75" s="80"/>
      <c r="AR75" s="80"/>
      <c r="AS75" s="80"/>
      <c r="AT75" s="80"/>
      <c r="AU75" s="80"/>
      <c r="AV75" s="80"/>
      <c r="AW75" s="80"/>
      <c r="AX75" s="80"/>
      <c r="AY75" s="56">
        <f t="shared" si="46"/>
      </c>
      <c r="AZ75" s="56">
        <f t="shared" si="47"/>
      </c>
      <c r="BA75" s="56">
        <f t="shared" si="48"/>
      </c>
      <c r="BB75" s="56">
        <f t="shared" si="49"/>
      </c>
      <c r="BC75" s="56">
        <f t="shared" si="50"/>
      </c>
      <c r="BD75" s="56">
        <f t="shared" si="51"/>
      </c>
      <c r="BE75" s="56">
        <f t="shared" si="52"/>
      </c>
      <c r="BF75" s="56">
        <f t="shared" si="53"/>
      </c>
      <c r="BG75" s="55"/>
      <c r="BH75" s="56">
        <f t="shared" si="54"/>
      </c>
      <c r="BI75" s="56">
        <f t="shared" si="55"/>
      </c>
      <c r="BJ75" s="56">
        <f t="shared" si="56"/>
      </c>
      <c r="BK75" s="56">
        <f t="shared" si="57"/>
      </c>
      <c r="BL75" s="56">
        <f t="shared" si="58"/>
      </c>
      <c r="BM75" s="56">
        <f t="shared" si="59"/>
      </c>
      <c r="BN75" s="56">
        <f t="shared" si="60"/>
      </c>
      <c r="BO75" s="56">
        <f t="shared" si="61"/>
      </c>
    </row>
    <row r="76" spans="1:67" ht="12.75">
      <c r="A76" s="81" t="s">
        <v>99</v>
      </c>
      <c r="B76" s="48"/>
      <c r="C76" s="90">
        <f t="shared" si="63"/>
        <v>0</v>
      </c>
      <c r="D76" s="50">
        <v>0</v>
      </c>
      <c r="E76" s="77"/>
      <c r="F76" s="77"/>
      <c r="G76" s="77"/>
      <c r="H76" s="77"/>
      <c r="I76" s="77"/>
      <c r="J76" s="77"/>
      <c r="K76" s="77"/>
      <c r="L76" s="77"/>
      <c r="M76" s="59"/>
      <c r="N76" s="59"/>
      <c r="O76" s="59"/>
      <c r="P76" s="59"/>
      <c r="Q76" s="59"/>
      <c r="R76" s="77"/>
      <c r="S76" s="77"/>
      <c r="T76" s="77"/>
      <c r="U76" s="51"/>
      <c r="V76" s="54">
        <f t="shared" si="45"/>
        <v>0</v>
      </c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80"/>
      <c r="AH76" s="80"/>
      <c r="AI76" s="80"/>
      <c r="AJ76" s="80"/>
      <c r="AK76" s="80"/>
      <c r="AL76" s="80"/>
      <c r="AM76" s="80"/>
      <c r="AN76" s="80"/>
      <c r="AO76" s="55"/>
      <c r="AP76" s="80"/>
      <c r="AQ76" s="80"/>
      <c r="AR76" s="80"/>
      <c r="AS76" s="80"/>
      <c r="AT76" s="80"/>
      <c r="AU76" s="80"/>
      <c r="AV76" s="80"/>
      <c r="AW76" s="80"/>
      <c r="AX76" s="80"/>
      <c r="AY76" s="56">
        <f t="shared" si="46"/>
      </c>
      <c r="AZ76" s="56">
        <f t="shared" si="47"/>
      </c>
      <c r="BA76" s="56">
        <f t="shared" si="48"/>
      </c>
      <c r="BB76" s="56">
        <f t="shared" si="49"/>
      </c>
      <c r="BC76" s="56">
        <f t="shared" si="50"/>
      </c>
      <c r="BD76" s="56">
        <f t="shared" si="51"/>
      </c>
      <c r="BE76" s="56">
        <f t="shared" si="52"/>
      </c>
      <c r="BF76" s="56">
        <f t="shared" si="53"/>
      </c>
      <c r="BG76" s="55"/>
      <c r="BH76" s="56">
        <f t="shared" si="54"/>
      </c>
      <c r="BI76" s="56">
        <f t="shared" si="55"/>
      </c>
      <c r="BJ76" s="56">
        <f t="shared" si="56"/>
      </c>
      <c r="BK76" s="56">
        <f t="shared" si="57"/>
      </c>
      <c r="BL76" s="56">
        <f t="shared" si="58"/>
      </c>
      <c r="BM76" s="56">
        <f t="shared" si="59"/>
      </c>
      <c r="BN76" s="56">
        <f t="shared" si="60"/>
      </c>
      <c r="BO76" s="56">
        <f t="shared" si="61"/>
      </c>
    </row>
    <row r="77" spans="1:67" ht="12.75">
      <c r="A77" s="81" t="s">
        <v>100</v>
      </c>
      <c r="B77" s="48"/>
      <c r="C77" s="90">
        <f t="shared" si="63"/>
        <v>0</v>
      </c>
      <c r="D77" s="50">
        <v>0</v>
      </c>
      <c r="E77" s="77"/>
      <c r="F77" s="77"/>
      <c r="G77" s="77"/>
      <c r="H77" s="77"/>
      <c r="I77" s="77"/>
      <c r="J77" s="77"/>
      <c r="K77" s="77"/>
      <c r="L77" s="77"/>
      <c r="M77" s="59"/>
      <c r="N77" s="59"/>
      <c r="O77" s="59"/>
      <c r="P77" s="59"/>
      <c r="Q77" s="59"/>
      <c r="R77" s="77"/>
      <c r="S77" s="77"/>
      <c r="T77" s="77"/>
      <c r="U77" s="51"/>
      <c r="V77" s="54">
        <f t="shared" si="45"/>
        <v>0</v>
      </c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80"/>
      <c r="AH77" s="80"/>
      <c r="AI77" s="80"/>
      <c r="AJ77" s="80"/>
      <c r="AK77" s="80"/>
      <c r="AL77" s="80"/>
      <c r="AM77" s="80"/>
      <c r="AN77" s="80"/>
      <c r="AO77" s="55"/>
      <c r="AP77" s="80"/>
      <c r="AQ77" s="80"/>
      <c r="AR77" s="80"/>
      <c r="AS77" s="80"/>
      <c r="AT77" s="80"/>
      <c r="AU77" s="80"/>
      <c r="AV77" s="80"/>
      <c r="AW77" s="80"/>
      <c r="AX77" s="80"/>
      <c r="AY77" s="56">
        <f t="shared" si="46"/>
      </c>
      <c r="AZ77" s="56">
        <f t="shared" si="47"/>
      </c>
      <c r="BA77" s="56">
        <f t="shared" si="48"/>
      </c>
      <c r="BB77" s="56">
        <f t="shared" si="49"/>
      </c>
      <c r="BC77" s="56">
        <f t="shared" si="50"/>
      </c>
      <c r="BD77" s="56">
        <f t="shared" si="51"/>
      </c>
      <c r="BE77" s="56">
        <f t="shared" si="52"/>
      </c>
      <c r="BF77" s="56">
        <f t="shared" si="53"/>
      </c>
      <c r="BG77" s="55"/>
      <c r="BH77" s="56">
        <f t="shared" si="54"/>
      </c>
      <c r="BI77" s="56">
        <f t="shared" si="55"/>
      </c>
      <c r="BJ77" s="56">
        <f t="shared" si="56"/>
      </c>
      <c r="BK77" s="56">
        <f t="shared" si="57"/>
      </c>
      <c r="BL77" s="56">
        <f t="shared" si="58"/>
      </c>
      <c r="BM77" s="56">
        <f t="shared" si="59"/>
      </c>
      <c r="BN77" s="56">
        <f t="shared" si="60"/>
      </c>
      <c r="BO77" s="56">
        <f t="shared" si="61"/>
      </c>
    </row>
    <row r="78" spans="1:67" ht="12.75">
      <c r="A78" s="81" t="s">
        <v>101</v>
      </c>
      <c r="B78" s="48"/>
      <c r="C78" s="90">
        <f t="shared" si="63"/>
        <v>0</v>
      </c>
      <c r="D78" s="50">
        <v>0</v>
      </c>
      <c r="E78" s="77"/>
      <c r="F78" s="77"/>
      <c r="G78" s="77"/>
      <c r="H78" s="77"/>
      <c r="I78" s="77"/>
      <c r="J78" s="77"/>
      <c r="K78" s="77"/>
      <c r="L78" s="77"/>
      <c r="M78" s="59"/>
      <c r="N78" s="59"/>
      <c r="O78" s="59"/>
      <c r="P78" s="59"/>
      <c r="Q78" s="59"/>
      <c r="R78" s="77"/>
      <c r="S78" s="77"/>
      <c r="T78" s="77"/>
      <c r="U78" s="51"/>
      <c r="V78" s="54">
        <f t="shared" si="45"/>
        <v>0</v>
      </c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80"/>
      <c r="AH78" s="80"/>
      <c r="AI78" s="80"/>
      <c r="AJ78" s="80"/>
      <c r="AK78" s="80"/>
      <c r="AL78" s="80"/>
      <c r="AM78" s="80"/>
      <c r="AN78" s="80"/>
      <c r="AO78" s="55"/>
      <c r="AP78" s="80"/>
      <c r="AQ78" s="80"/>
      <c r="AR78" s="80"/>
      <c r="AS78" s="80"/>
      <c r="AT78" s="80"/>
      <c r="AU78" s="80"/>
      <c r="AV78" s="80"/>
      <c r="AW78" s="80"/>
      <c r="AX78" s="80"/>
      <c r="AY78" s="56">
        <f t="shared" si="46"/>
      </c>
      <c r="AZ78" s="56">
        <f t="shared" si="47"/>
      </c>
      <c r="BA78" s="56">
        <f t="shared" si="48"/>
      </c>
      <c r="BB78" s="56">
        <f t="shared" si="49"/>
      </c>
      <c r="BC78" s="56">
        <f t="shared" si="50"/>
      </c>
      <c r="BD78" s="56">
        <f t="shared" si="51"/>
      </c>
      <c r="BE78" s="56">
        <f t="shared" si="52"/>
      </c>
      <c r="BF78" s="56">
        <f t="shared" si="53"/>
      </c>
      <c r="BG78" s="55"/>
      <c r="BH78" s="56">
        <f t="shared" si="54"/>
      </c>
      <c r="BI78" s="56">
        <f t="shared" si="55"/>
      </c>
      <c r="BJ78" s="56">
        <f t="shared" si="56"/>
      </c>
      <c r="BK78" s="56">
        <f t="shared" si="57"/>
      </c>
      <c r="BL78" s="56">
        <f t="shared" si="58"/>
      </c>
      <c r="BM78" s="56">
        <f t="shared" si="59"/>
      </c>
      <c r="BN78" s="56">
        <f t="shared" si="60"/>
      </c>
      <c r="BO78" s="56">
        <f t="shared" si="61"/>
      </c>
    </row>
    <row r="79" spans="1:67" ht="12.75">
      <c r="A79" s="81" t="s">
        <v>102</v>
      </c>
      <c r="B79" s="48"/>
      <c r="C79" s="90">
        <f t="shared" si="63"/>
        <v>0</v>
      </c>
      <c r="D79" s="50">
        <v>0</v>
      </c>
      <c r="E79" s="77"/>
      <c r="F79" s="77"/>
      <c r="G79" s="77"/>
      <c r="H79" s="77"/>
      <c r="I79" s="77"/>
      <c r="J79" s="77"/>
      <c r="K79" s="77"/>
      <c r="L79" s="77"/>
      <c r="M79" s="59"/>
      <c r="N79" s="59"/>
      <c r="O79" s="59"/>
      <c r="P79" s="59"/>
      <c r="Q79" s="59"/>
      <c r="R79" s="77"/>
      <c r="S79" s="77"/>
      <c r="T79" s="77"/>
      <c r="U79" s="51"/>
      <c r="V79" s="54">
        <f t="shared" si="45"/>
        <v>0</v>
      </c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80"/>
      <c r="AH79" s="80"/>
      <c r="AI79" s="80"/>
      <c r="AJ79" s="80"/>
      <c r="AK79" s="80"/>
      <c r="AL79" s="80"/>
      <c r="AM79" s="80"/>
      <c r="AN79" s="80"/>
      <c r="AO79" s="55"/>
      <c r="AP79" s="80"/>
      <c r="AQ79" s="80"/>
      <c r="AR79" s="80"/>
      <c r="AS79" s="80"/>
      <c r="AT79" s="80"/>
      <c r="AU79" s="80"/>
      <c r="AV79" s="80"/>
      <c r="AW79" s="80"/>
      <c r="AX79" s="80"/>
      <c r="AY79" s="56">
        <f t="shared" si="46"/>
      </c>
      <c r="AZ79" s="56">
        <f t="shared" si="47"/>
      </c>
      <c r="BA79" s="56">
        <f t="shared" si="48"/>
      </c>
      <c r="BB79" s="56">
        <f t="shared" si="49"/>
      </c>
      <c r="BC79" s="56">
        <f t="shared" si="50"/>
      </c>
      <c r="BD79" s="56">
        <f t="shared" si="51"/>
      </c>
      <c r="BE79" s="56">
        <f t="shared" si="52"/>
      </c>
      <c r="BF79" s="56">
        <f t="shared" si="53"/>
      </c>
      <c r="BG79" s="55"/>
      <c r="BH79" s="56">
        <f t="shared" si="54"/>
      </c>
      <c r="BI79" s="56">
        <f t="shared" si="55"/>
      </c>
      <c r="BJ79" s="56">
        <f t="shared" si="56"/>
      </c>
      <c r="BK79" s="56">
        <f t="shared" si="57"/>
      </c>
      <c r="BL79" s="56">
        <f t="shared" si="58"/>
      </c>
      <c r="BM79" s="56">
        <f t="shared" si="59"/>
      </c>
      <c r="BN79" s="56">
        <f t="shared" si="60"/>
      </c>
      <c r="BO79" s="56">
        <f t="shared" si="61"/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9"/>
  <sheetViews>
    <sheetView workbookViewId="0" topLeftCell="A1">
      <pane ySplit="49" topLeftCell="BM86" activePane="bottomLeft" state="frozen"/>
      <selection pane="topLeft" activeCell="A1" sqref="A1"/>
      <selection pane="bottomLeft" activeCell="N108" sqref="N108"/>
    </sheetView>
  </sheetViews>
  <sheetFormatPr defaultColWidth="9.140625" defaultRowHeight="12.75"/>
  <cols>
    <col min="1" max="1" width="30.421875" style="0" bestFit="1" customWidth="1"/>
    <col min="2" max="6" width="8.7109375" style="0" customWidth="1"/>
    <col min="7" max="7" width="4.140625" style="0" customWidth="1"/>
    <col min="9" max="13" width="8.7109375" style="0" customWidth="1"/>
  </cols>
  <sheetData>
    <row r="1" spans="2:13" ht="12.75">
      <c r="B1" s="36"/>
      <c r="C1" s="36"/>
      <c r="D1" s="36"/>
      <c r="E1" s="36"/>
      <c r="F1" s="36"/>
      <c r="I1" s="36"/>
      <c r="J1" s="36"/>
      <c r="K1" s="36"/>
      <c r="L1" s="36"/>
      <c r="M1" s="36"/>
    </row>
    <row r="2" spans="1:13" ht="15.75">
      <c r="A2" s="10"/>
      <c r="B2" s="11" t="s">
        <v>78</v>
      </c>
      <c r="C2" s="11" t="s">
        <v>79</v>
      </c>
      <c r="D2" s="11" t="s">
        <v>80</v>
      </c>
      <c r="E2" s="11" t="s">
        <v>81</v>
      </c>
      <c r="F2" s="11" t="s">
        <v>82</v>
      </c>
      <c r="G2" s="13"/>
      <c r="I2" s="11" t="s">
        <v>78</v>
      </c>
      <c r="J2" s="11" t="s">
        <v>79</v>
      </c>
      <c r="K2" s="11" t="s">
        <v>80</v>
      </c>
      <c r="L2" s="11" t="s">
        <v>81</v>
      </c>
      <c r="M2" s="11" t="s">
        <v>82</v>
      </c>
    </row>
    <row r="3" spans="1:13" ht="12.75">
      <c r="A3" s="1"/>
      <c r="B3" s="9" t="s">
        <v>183</v>
      </c>
      <c r="C3" s="9"/>
      <c r="D3" s="9"/>
      <c r="E3" s="9"/>
      <c r="F3" s="9"/>
      <c r="I3" s="9" t="s">
        <v>183</v>
      </c>
      <c r="J3" s="9"/>
      <c r="K3" s="9"/>
      <c r="L3" s="9"/>
      <c r="M3" s="9"/>
    </row>
    <row r="4" spans="1:13" ht="12.75">
      <c r="A4" s="1"/>
      <c r="B4" s="25">
        <v>50</v>
      </c>
      <c r="C4" s="26">
        <v>80</v>
      </c>
      <c r="D4" s="26">
        <v>120</v>
      </c>
      <c r="E4" s="26">
        <v>170</v>
      </c>
      <c r="F4" s="26">
        <v>220</v>
      </c>
      <c r="G4" s="24"/>
      <c r="I4" s="25">
        <v>50</v>
      </c>
      <c r="J4" s="26">
        <v>80</v>
      </c>
      <c r="K4" s="26">
        <v>120</v>
      </c>
      <c r="L4" s="26">
        <v>170</v>
      </c>
      <c r="M4" s="26">
        <v>220</v>
      </c>
    </row>
    <row r="5" spans="1:13" ht="13.5" thickBot="1">
      <c r="A5" s="2" t="s">
        <v>27</v>
      </c>
      <c r="B5" s="27">
        <v>80</v>
      </c>
      <c r="C5" s="27">
        <v>120</v>
      </c>
      <c r="D5" s="27">
        <v>170</v>
      </c>
      <c r="E5" s="27">
        <v>220</v>
      </c>
      <c r="F5" s="27">
        <v>270</v>
      </c>
      <c r="G5" s="24"/>
      <c r="I5" s="27">
        <v>80</v>
      </c>
      <c r="J5" s="27">
        <v>120</v>
      </c>
      <c r="K5" s="27">
        <v>170</v>
      </c>
      <c r="L5" s="27">
        <v>220</v>
      </c>
      <c r="M5" s="27">
        <v>265</v>
      </c>
    </row>
    <row r="6" spans="1:13" ht="12.75" customHeight="1">
      <c r="A6" t="s">
        <v>1</v>
      </c>
      <c r="B6" s="104">
        <f>IF(B4="","",((((B84-B137)*2000)+((SUM(B8:B79)-2000)*((IF($A7=Nutrients!$A$19,Nutrients!$AY$19,(IF($A7=Nutrients!$A$20,Nutrients!$AY$20,Nutrients!$AY$21)))))))/((IF($A6=Nutrients!$A$8,Nutrients!$AY$8,Nutrients!$AY$9))-((IF($A7=Nutrients!$A$19,Nutrients!$AY$19,(IF($A7=Nutrients!$A$20,Nutrients!$AY$20,Nutrients!$AY$21))))))))</f>
        <v>1378.3285623409668</v>
      </c>
      <c r="C6" s="104">
        <f>IF(C4="","",((((C84-C137)*2000)+((SUM(C8:C79)-2000)*((IF($A7=Nutrients!$A$19,Nutrients!$AY$19,(IF($A7=Nutrients!$A$20,Nutrients!$AY$20,Nutrients!$AY$21)))))))/((IF($A6=Nutrients!$A$8,Nutrients!$AY$8,Nutrients!$AY$9))-((IF($A7=Nutrients!$A$19,Nutrients!$AY$19,(IF($A7=Nutrients!$A$20,Nutrients!$AY$20,Nutrients!$AY$21))))))))</f>
        <v>1475.909669211196</v>
      </c>
      <c r="D6" s="104">
        <f>IF(D4="","",((((D84-D137)*2000)+((SUM(D8:D79)-2000)*((IF($A7=Nutrients!$A$19,Nutrients!$AY$19,(IF($A7=Nutrients!$A$20,Nutrients!$AY$20,Nutrients!$AY$21)))))))/((IF($A6=Nutrients!$A$8,Nutrients!$AY$8,Nutrients!$AY$9))-((IF($A7=Nutrients!$A$19,Nutrients!$AY$19,(IF($A7=Nutrients!$A$20,Nutrients!$AY$20,Nutrients!$AY$21))))))))</f>
        <v>1574.5714058524172</v>
      </c>
      <c r="E6" s="104">
        <f>IF(E4="","",((((E84-E137)*2000)+((SUM(E8:E79)-2000)*((IF($A7=Nutrients!$A$19,Nutrients!$AY$19,(IF($A7=Nutrients!$A$20,Nutrients!$AY$20,Nutrients!$AY$21)))))))/((IF($A6=Nutrients!$A$8,Nutrients!$AY$8,Nutrients!$AY$9))-((IF($A7=Nutrients!$A$19,Nutrients!$AY$19,(IF($A7=Nutrients!$A$20,Nutrients!$AY$20,Nutrients!$AY$21))))))))</f>
        <v>1663.1202290076335</v>
      </c>
      <c r="F6" s="104">
        <f>IF(F4="","",((((F84-F137)*2000)+((SUM(F8:F79)-2000)*((IF($A7=Nutrients!$A$19,Nutrients!$AY$19,(IF($A7=Nutrients!$A$20,Nutrients!$AY$20,Nutrients!$AY$21)))))))/((IF($A6=Nutrients!$A$8,Nutrients!$AY$8,Nutrients!$AY$9))-((IF($A7=Nutrients!$A$19,Nutrients!$AY$19,(IF($A7=Nutrients!$A$20,Nutrients!$AY$20,Nutrients!$AY$21))))))))</f>
        <v>1718.7818066157758</v>
      </c>
      <c r="G6" s="34"/>
      <c r="I6" s="104">
        <f>IF(I4="","",((((I84-I137)*2000)+((SUM(I8:I79)-2000)*((IF($A7=Nutrients!$A$19,Nutrients!$AY$19,(IF($A7=Nutrients!$A$20,Nutrients!$AY$20,Nutrients!$AY$21)))))))/((IF($A6=Nutrients!$A$8,Nutrients!$AY$8,Nutrients!$AY$9))-((IF($A7=Nutrients!$A$19,Nutrients!$AY$19,(IF($A7=Nutrients!$A$20,Nutrients!$AY$20,Nutrients!$AY$21))))))))</f>
        <v>1384.625079516539</v>
      </c>
      <c r="J6" s="104">
        <f>IF(J4="","",((((J84-J137)*2000)+((SUM(J8:J79)-2000)*((IF($A7=Nutrients!$A$19,Nutrients!$AY$19,(IF($A7=Nutrients!$A$20,Nutrients!$AY$20,Nutrients!$AY$21)))))))/((IF($A6=Nutrients!$A$8,Nutrients!$AY$8,Nutrients!$AY$9))-((IF($A7=Nutrients!$A$19,Nutrients!$AY$19,(IF($A7=Nutrients!$A$20,Nutrients!$AY$20,Nutrients!$AY$21))))))))</f>
        <v>1481.246819338422</v>
      </c>
      <c r="K6" s="104">
        <f>IF(K4="","",((((K84-K137)*2000)+((SUM(K8:K79)-2000)*((IF($A7=Nutrients!$A$19,Nutrients!$AY$19,(IF($A7=Nutrients!$A$20,Nutrients!$AY$20,Nutrients!$AY$21)))))))/((IF($A6=Nutrients!$A$8,Nutrients!$AY$8,Nutrients!$AY$9))-((IF($A7=Nutrients!$A$19,Nutrients!$AY$19,(IF($A7=Nutrients!$A$20,Nutrients!$AY$20,Nutrients!$AY$21))))))))</f>
        <v>1579.4895038167938</v>
      </c>
      <c r="L6" s="104">
        <f>IF(L4="","",((((L84-L137)*2000)+((SUM(L8:L79)-2000)*((IF($A7=Nutrients!$A$19,Nutrients!$AY$19,(IF($A7=Nutrients!$A$20,Nutrients!$AY$20,Nutrients!$AY$21)))))))/((IF($A6=Nutrients!$A$8,Nutrients!$AY$8,Nutrients!$AY$9))-((IF($A7=Nutrients!$A$19,Nutrients!$AY$19,(IF($A7=Nutrients!$A$20,Nutrients!$AY$20,Nutrients!$AY$21))))))))</f>
        <v>1667.4980120865137</v>
      </c>
      <c r="M6" s="104">
        <f>IF(M4="","",((((M84-M137)*2000)+((SUM(M8:M79)-2000)*((IF($A7=Nutrients!$A$19,Nutrients!$AY$19,(IF($A7=Nutrients!$A$20,Nutrients!$AY$20,Nutrients!$AY$21)))))))/((IF($A6=Nutrients!$A$8,Nutrients!$AY$8,Nutrients!$AY$9))-((IF($A7=Nutrients!$A$19,Nutrients!$AY$19,(IF($A7=Nutrients!$A$20,Nutrients!$AY$20,Nutrients!$AY$21))))))))</f>
        <v>1723.933683206107</v>
      </c>
    </row>
    <row r="7" spans="1:13" ht="12.75">
      <c r="A7" t="s">
        <v>4</v>
      </c>
      <c r="B7" s="104">
        <f>IF(B4="","",2000-SUM(B8:B79)-B6)</f>
        <v>575.6714376590332</v>
      </c>
      <c r="C7" s="104">
        <f>IF(C4="","",2000-SUM(C8:C79)-C6)</f>
        <v>480.09033078880407</v>
      </c>
      <c r="D7" s="104">
        <f>IF(D4="","",2000-SUM(D8:D79)-D6)</f>
        <v>384.42859414758277</v>
      </c>
      <c r="E7" s="104">
        <f>IF(E4="","",2000-SUM(E8:E79)-E6)</f>
        <v>296.8797709923665</v>
      </c>
      <c r="F7" s="104">
        <f>IF(F4="","",2000-SUM(F8:F79)-F6)</f>
        <v>241.21819338422415</v>
      </c>
      <c r="G7" s="34"/>
      <c r="I7" s="104">
        <f>IF(I4="","",2000-SUM(I8:I79)-I6)</f>
        <v>530.874920483461</v>
      </c>
      <c r="J7" s="104">
        <f>IF(J4="","",2000-SUM(J8:J79)-J6)</f>
        <v>442.75318066157797</v>
      </c>
      <c r="K7" s="104">
        <f>IF(K4="","",2000-SUM(K8:K79)-K6)</f>
        <v>354.5104961832062</v>
      </c>
      <c r="L7" s="104">
        <f>IF(L4="","",2000-SUM(L8:L79)-L6)</f>
        <v>267.00198791348635</v>
      </c>
      <c r="M7" s="104">
        <f>IF(M4="","",2000-SUM(M8:M79)-M6)</f>
        <v>209.06631679389307</v>
      </c>
    </row>
    <row r="8" spans="1:13" ht="12.75" hidden="1">
      <c r="A8" t="str">
        <f>Nutrients!A8</f>
        <v>Corn</v>
      </c>
      <c r="B8" s="24"/>
      <c r="C8" s="24"/>
      <c r="D8" s="24"/>
      <c r="E8" s="24"/>
      <c r="F8" s="24"/>
      <c r="I8" s="24"/>
      <c r="J8" s="24"/>
      <c r="K8" s="24"/>
      <c r="L8" s="24"/>
      <c r="M8" s="24"/>
    </row>
    <row r="9" spans="1:13" ht="12.75" hidden="1">
      <c r="A9" t="str">
        <f>Nutrients!A9</f>
        <v>Milo</v>
      </c>
      <c r="B9" s="24"/>
      <c r="C9" s="24"/>
      <c r="D9" s="24"/>
      <c r="E9" s="24"/>
      <c r="F9" s="24"/>
      <c r="I9" s="24"/>
      <c r="J9" s="24"/>
      <c r="K9" s="24"/>
      <c r="L9" s="24"/>
      <c r="M9" s="24"/>
    </row>
    <row r="10" spans="1:13" ht="12.75" hidden="1">
      <c r="A10" t="str">
        <f>Nutrients!A10</f>
        <v>Barley</v>
      </c>
      <c r="B10" s="102"/>
      <c r="C10" s="103"/>
      <c r="D10" s="103"/>
      <c r="E10" s="103"/>
      <c r="F10" s="103"/>
      <c r="I10" s="102"/>
      <c r="J10" s="103"/>
      <c r="K10" s="103"/>
      <c r="L10" s="103"/>
      <c r="M10" s="103"/>
    </row>
    <row r="11" spans="1:13" ht="12.75" hidden="1">
      <c r="A11" t="str">
        <f>Nutrients!A11</f>
        <v>Hard Red Winter Wheat</v>
      </c>
      <c r="B11" s="102"/>
      <c r="C11" s="103"/>
      <c r="D11" s="103"/>
      <c r="E11" s="103"/>
      <c r="F11" s="103"/>
      <c r="I11" s="102"/>
      <c r="J11" s="103"/>
      <c r="K11" s="103"/>
      <c r="L11" s="103"/>
      <c r="M11" s="103"/>
    </row>
    <row r="12" spans="1:13" ht="12.75" hidden="1">
      <c r="A12" t="str">
        <f>Nutrients!A12</f>
        <v>High oil corn</v>
      </c>
      <c r="B12" s="24"/>
      <c r="C12" s="24"/>
      <c r="D12" s="24"/>
      <c r="E12" s="24"/>
      <c r="F12" s="24"/>
      <c r="G12" s="24"/>
      <c r="I12" s="24"/>
      <c r="J12" s="24"/>
      <c r="K12" s="24"/>
      <c r="L12" s="24"/>
      <c r="M12" s="24"/>
    </row>
    <row r="13" spans="1:13" ht="12.75" hidden="1">
      <c r="A13" t="str">
        <f>Nutrients!A13</f>
        <v>Soy Hulls</v>
      </c>
      <c r="B13" s="24"/>
      <c r="C13" s="24"/>
      <c r="D13" s="24"/>
      <c r="E13" s="24"/>
      <c r="F13" s="24"/>
      <c r="G13" s="24"/>
      <c r="I13" s="24"/>
      <c r="J13" s="24"/>
      <c r="K13" s="24"/>
      <c r="L13" s="24"/>
      <c r="M13" s="24"/>
    </row>
    <row r="14" spans="1:13" ht="12.75" hidden="1">
      <c r="A14" t="str">
        <f>Nutrients!A14</f>
        <v>Bakery byproduct</v>
      </c>
      <c r="B14" s="24"/>
      <c r="C14" s="24"/>
      <c r="D14" s="24"/>
      <c r="E14" s="24"/>
      <c r="F14" s="24"/>
      <c r="I14" s="24"/>
      <c r="J14" s="24"/>
      <c r="K14" s="24"/>
      <c r="L14" s="24"/>
      <c r="M14" s="24"/>
    </row>
    <row r="15" spans="1:13" ht="12.75" hidden="1">
      <c r="A15" t="str">
        <f>Nutrients!A15</f>
        <v>DDGS, NRC</v>
      </c>
      <c r="B15" s="24"/>
      <c r="C15" s="24"/>
      <c r="D15" s="24"/>
      <c r="E15" s="24"/>
      <c r="F15" s="24"/>
      <c r="I15" s="24"/>
      <c r="J15" s="24"/>
      <c r="K15" s="24"/>
      <c r="L15" s="24"/>
      <c r="M15" s="24"/>
    </row>
    <row r="16" spans="1:13" ht="12.75" hidden="1">
      <c r="A16" t="str">
        <f>Nutrients!A16</f>
        <v>Hominy Feed</v>
      </c>
      <c r="B16" s="24"/>
      <c r="C16" s="24"/>
      <c r="D16" s="24"/>
      <c r="E16" s="24"/>
      <c r="F16" s="24"/>
      <c r="I16" s="24"/>
      <c r="J16" s="24"/>
      <c r="K16" s="24"/>
      <c r="L16" s="24"/>
      <c r="M16" s="24"/>
    </row>
    <row r="17" spans="1:13" ht="12.75" hidden="1">
      <c r="A17" t="str">
        <f>Nutrients!A17</f>
        <v>Wheat Bran</v>
      </c>
      <c r="B17" s="24"/>
      <c r="C17" s="24"/>
      <c r="D17" s="24"/>
      <c r="E17" s="24"/>
      <c r="F17" s="24"/>
      <c r="I17" s="24"/>
      <c r="J17" s="24"/>
      <c r="K17" s="24"/>
      <c r="L17" s="24"/>
      <c r="M17" s="24"/>
    </row>
    <row r="18" spans="1:13" ht="12.75" hidden="1">
      <c r="A18" t="str">
        <f>Nutrients!A18</f>
        <v>Wheat Middlings</v>
      </c>
      <c r="B18" s="24"/>
      <c r="C18" s="24"/>
      <c r="D18" s="24"/>
      <c r="E18" s="24"/>
      <c r="F18" s="24"/>
      <c r="I18" s="24"/>
      <c r="J18" s="24"/>
      <c r="K18" s="24"/>
      <c r="L18" s="24"/>
      <c r="M18" s="24"/>
    </row>
    <row r="19" spans="1:13" ht="12.75" hidden="1">
      <c r="A19" t="str">
        <f>Nutrients!A19</f>
        <v>Soybean meal, 46.5%</v>
      </c>
      <c r="B19" s="24"/>
      <c r="C19" s="24"/>
      <c r="D19" s="24"/>
      <c r="E19" s="24"/>
      <c r="F19" s="24"/>
      <c r="G19" s="24"/>
      <c r="I19" s="24"/>
      <c r="J19" s="24"/>
      <c r="K19" s="24"/>
      <c r="L19" s="24"/>
      <c r="M19" s="24"/>
    </row>
    <row r="20" spans="1:13" ht="12.75" hidden="1">
      <c r="A20" t="str">
        <f>Nutrients!A20</f>
        <v>NCKP soybean meal</v>
      </c>
      <c r="B20" s="24"/>
      <c r="C20" s="24"/>
      <c r="D20" s="24"/>
      <c r="E20" s="24"/>
      <c r="F20" s="24"/>
      <c r="I20" s="24"/>
      <c r="J20" s="24"/>
      <c r="K20" s="24"/>
      <c r="L20" s="24"/>
      <c r="M20" s="24"/>
    </row>
    <row r="21" spans="1:13" ht="12.75" hidden="1">
      <c r="A21" t="str">
        <f>Nutrients!A21</f>
        <v>Soybean meal, 44%</v>
      </c>
      <c r="B21" s="24"/>
      <c r="C21" s="24"/>
      <c r="D21" s="24"/>
      <c r="E21" s="24"/>
      <c r="F21" s="24"/>
      <c r="I21" s="24"/>
      <c r="J21" s="24"/>
      <c r="K21" s="24"/>
      <c r="L21" s="24"/>
      <c r="M21" s="24"/>
    </row>
    <row r="22" spans="1:13" ht="12.75" hidden="1">
      <c r="A22" t="str">
        <f>Nutrients!A22</f>
        <v>Alfalfa meal, dehy</v>
      </c>
      <c r="B22" s="24"/>
      <c r="C22" s="24"/>
      <c r="D22" s="24"/>
      <c r="E22" s="24"/>
      <c r="F22" s="24"/>
      <c r="I22" s="24"/>
      <c r="J22" s="24"/>
      <c r="K22" s="24"/>
      <c r="L22" s="24"/>
      <c r="M22" s="24"/>
    </row>
    <row r="23" spans="1:13" ht="12.75" hidden="1">
      <c r="A23" t="str">
        <f>Nutrients!A23</f>
        <v>Canola meal</v>
      </c>
      <c r="B23" s="24"/>
      <c r="C23" s="24"/>
      <c r="D23" s="24"/>
      <c r="E23" s="24"/>
      <c r="F23" s="24"/>
      <c r="I23" s="24"/>
      <c r="J23" s="24"/>
      <c r="K23" s="24"/>
      <c r="L23" s="24"/>
      <c r="M23" s="24"/>
    </row>
    <row r="24" spans="1:13" ht="12.75" hidden="1">
      <c r="A24" t="str">
        <f>Nutrients!A24</f>
        <v>Peas</v>
      </c>
      <c r="B24" s="24"/>
      <c r="C24" s="24"/>
      <c r="D24" s="24"/>
      <c r="E24" s="24"/>
      <c r="F24" s="24"/>
      <c r="I24" s="24"/>
      <c r="J24" s="24"/>
      <c r="K24" s="24"/>
      <c r="L24" s="24"/>
      <c r="M24" s="24"/>
    </row>
    <row r="25" spans="1:13" ht="12.75" hidden="1">
      <c r="A25" t="str">
        <f>Nutrients!A25</f>
        <v>Soybeans, full fat</v>
      </c>
      <c r="B25" s="24"/>
      <c r="C25" s="24"/>
      <c r="D25" s="24"/>
      <c r="E25" s="24"/>
      <c r="F25" s="24"/>
      <c r="I25" s="24"/>
      <c r="J25" s="24"/>
      <c r="K25" s="24"/>
      <c r="L25" s="24"/>
      <c r="M25" s="24"/>
    </row>
    <row r="26" spans="1:13" ht="12.75">
      <c r="A26" t="str">
        <f>Nutrients!A26</f>
        <v>Meat and Bone meal</v>
      </c>
      <c r="B26" s="24"/>
      <c r="C26" s="24"/>
      <c r="D26" s="24"/>
      <c r="E26" s="24"/>
      <c r="F26" s="24"/>
      <c r="I26" s="24">
        <v>60</v>
      </c>
      <c r="J26" s="24">
        <v>50</v>
      </c>
      <c r="K26" s="24">
        <v>40</v>
      </c>
      <c r="L26" s="24">
        <v>40</v>
      </c>
      <c r="M26" s="24">
        <v>43</v>
      </c>
    </row>
    <row r="27" spans="1:13" ht="12.75" hidden="1">
      <c r="A27" t="str">
        <f>Nutrients!A27</f>
        <v>Poultry meal</v>
      </c>
      <c r="B27" s="24"/>
      <c r="C27" s="24"/>
      <c r="D27" s="24"/>
      <c r="E27" s="24"/>
      <c r="F27" s="24"/>
      <c r="I27" s="24"/>
      <c r="J27" s="24"/>
      <c r="K27" s="24"/>
      <c r="L27" s="24"/>
      <c r="M27" s="24"/>
    </row>
    <row r="28" spans="1:13" ht="12.75" hidden="1">
      <c r="A28" t="str">
        <f>Nutrients!A28</f>
        <v>Spray-dried Porcine plasma</v>
      </c>
      <c r="B28" s="24"/>
      <c r="C28" s="24"/>
      <c r="D28" s="24"/>
      <c r="E28" s="24"/>
      <c r="F28" s="24"/>
      <c r="I28" s="24"/>
      <c r="J28" s="24"/>
      <c r="K28" s="24"/>
      <c r="L28" s="24"/>
      <c r="M28" s="24"/>
    </row>
    <row r="29" spans="1:13" ht="12.75" hidden="1">
      <c r="A29" t="str">
        <f>Nutrients!A29</f>
        <v>Select Menhaden Fish Meal</v>
      </c>
      <c r="B29" s="24"/>
      <c r="C29" s="24"/>
      <c r="D29" s="24"/>
      <c r="E29" s="24"/>
      <c r="F29" s="24"/>
      <c r="I29" s="24"/>
      <c r="J29" s="24"/>
      <c r="K29" s="24"/>
      <c r="L29" s="24"/>
      <c r="M29" s="24"/>
    </row>
    <row r="30" spans="1:13" ht="12.75" hidden="1">
      <c r="A30" t="str">
        <f>Nutrients!A30</f>
        <v>Spray-dried blood meal</v>
      </c>
      <c r="B30" s="24"/>
      <c r="C30" s="24"/>
      <c r="D30" s="24"/>
      <c r="E30" s="24"/>
      <c r="F30" s="24"/>
      <c r="I30" s="24"/>
      <c r="J30" s="24"/>
      <c r="K30" s="24"/>
      <c r="L30" s="24"/>
      <c r="M30" s="24"/>
    </row>
    <row r="31" spans="1:13" ht="12.75" hidden="1">
      <c r="A31" t="str">
        <f>Nutrients!A31</f>
        <v>Spray-dried blood cells</v>
      </c>
      <c r="B31" s="24"/>
      <c r="C31" s="24"/>
      <c r="D31" s="24"/>
      <c r="E31" s="24"/>
      <c r="F31" s="24"/>
      <c r="I31" s="24"/>
      <c r="J31" s="24"/>
      <c r="K31" s="24"/>
      <c r="L31" s="24"/>
      <c r="M31" s="24"/>
    </row>
    <row r="32" spans="1:13" ht="12.75" hidden="1">
      <c r="A32" t="str">
        <f>Nutrients!A32</f>
        <v>Spray Dried Whey</v>
      </c>
      <c r="B32" s="24"/>
      <c r="C32" s="24"/>
      <c r="D32" s="24"/>
      <c r="E32" s="24"/>
      <c r="F32" s="24"/>
      <c r="I32" s="24"/>
      <c r="J32" s="24"/>
      <c r="K32" s="24"/>
      <c r="L32" s="24"/>
      <c r="M32" s="24"/>
    </row>
    <row r="33" spans="1:13" ht="12.75" hidden="1">
      <c r="A33" t="str">
        <f>Nutrients!A33</f>
        <v>DairyLac 80 or deproteinized whey</v>
      </c>
      <c r="B33" s="24"/>
      <c r="C33" s="24"/>
      <c r="D33" s="24"/>
      <c r="E33" s="24"/>
      <c r="F33" s="24"/>
      <c r="G33" s="24"/>
      <c r="I33" s="24"/>
      <c r="J33" s="24"/>
      <c r="K33" s="24"/>
      <c r="L33" s="24"/>
      <c r="M33" s="24"/>
    </row>
    <row r="34" spans="1:13" ht="12.75" hidden="1">
      <c r="A34" t="str">
        <f>Nutrients!A34</f>
        <v>Lactose</v>
      </c>
      <c r="B34" s="24"/>
      <c r="C34" s="24"/>
      <c r="D34" s="24"/>
      <c r="E34" s="24"/>
      <c r="F34" s="24"/>
      <c r="I34" s="24"/>
      <c r="J34" s="24"/>
      <c r="K34" s="24"/>
      <c r="L34" s="24"/>
      <c r="M34" s="24"/>
    </row>
    <row r="35" spans="1:13" ht="12.75" hidden="1">
      <c r="A35" t="str">
        <f>Nutrients!A35</f>
        <v>Dried skim milk</v>
      </c>
      <c r="B35" s="24"/>
      <c r="C35" s="24"/>
      <c r="D35" s="24"/>
      <c r="E35" s="24"/>
      <c r="F35" s="24"/>
      <c r="I35" s="24"/>
      <c r="J35" s="24"/>
      <c r="K35" s="24"/>
      <c r="L35" s="24"/>
      <c r="M35" s="24"/>
    </row>
    <row r="36" spans="1:13" ht="12.75" hidden="1">
      <c r="A36" t="str">
        <f>Nutrients!A36</f>
        <v>Extruded Soy Protein Concentrate</v>
      </c>
      <c r="B36" s="24"/>
      <c r="C36" s="24"/>
      <c r="D36" s="24"/>
      <c r="E36" s="24"/>
      <c r="F36" s="24"/>
      <c r="I36" s="24"/>
      <c r="J36" s="24"/>
      <c r="K36" s="24"/>
      <c r="L36" s="24"/>
      <c r="M36" s="24"/>
    </row>
    <row r="37" spans="1:13" ht="12.75" hidden="1">
      <c r="A37" t="str">
        <f>Nutrients!A37</f>
        <v>Pulverized Oat Groats</v>
      </c>
      <c r="B37" s="24"/>
      <c r="C37" s="24"/>
      <c r="D37" s="24"/>
      <c r="E37" s="24"/>
      <c r="F37" s="24"/>
      <c r="I37" s="24"/>
      <c r="J37" s="24"/>
      <c r="K37" s="24"/>
      <c r="L37" s="24"/>
      <c r="M37" s="24"/>
    </row>
    <row r="38" spans="1:13" ht="12.75" hidden="1">
      <c r="A38" t="str">
        <f>Nutrients!A38</f>
        <v>Corn starch</v>
      </c>
      <c r="B38" s="24"/>
      <c r="C38" s="24"/>
      <c r="D38" s="24"/>
      <c r="E38" s="24"/>
      <c r="F38" s="24"/>
      <c r="I38" s="24"/>
      <c r="J38" s="24"/>
      <c r="K38" s="24"/>
      <c r="L38" s="24"/>
      <c r="M38" s="24"/>
    </row>
    <row r="39" spans="1:13" ht="12.75" hidden="1">
      <c r="A39" t="str">
        <f>Nutrients!A39</f>
        <v>Choice White Grease</v>
      </c>
      <c r="B39" s="24"/>
      <c r="C39" s="24"/>
      <c r="D39" s="24"/>
      <c r="E39" s="24"/>
      <c r="F39" s="24"/>
      <c r="G39" s="24"/>
      <c r="I39" s="24"/>
      <c r="J39" s="24"/>
      <c r="K39" s="24"/>
      <c r="L39" s="24"/>
      <c r="M39" s="24"/>
    </row>
    <row r="40" spans="1:13" ht="12.75" hidden="1">
      <c r="A40" t="str">
        <f>Nutrients!A40</f>
        <v>Beef Tallow</v>
      </c>
      <c r="B40" s="24"/>
      <c r="C40" s="24"/>
      <c r="D40" s="24"/>
      <c r="E40" s="24"/>
      <c r="F40" s="24"/>
      <c r="G40" s="24"/>
      <c r="I40" s="24"/>
      <c r="J40" s="24"/>
      <c r="K40" s="24"/>
      <c r="L40" s="24"/>
      <c r="M40" s="24"/>
    </row>
    <row r="41" spans="1:13" ht="12.75" hidden="1">
      <c r="A41" t="str">
        <f>Nutrients!A41</f>
        <v>Restaurant grease</v>
      </c>
      <c r="B41" s="24"/>
      <c r="C41" s="24"/>
      <c r="D41" s="24"/>
      <c r="E41" s="24"/>
      <c r="F41" s="24"/>
      <c r="G41" s="24"/>
      <c r="I41" s="24"/>
      <c r="J41" s="24"/>
      <c r="K41" s="24"/>
      <c r="L41" s="24"/>
      <c r="M41" s="24"/>
    </row>
    <row r="42" spans="1:13" ht="12.75" hidden="1">
      <c r="A42" t="str">
        <f>Nutrients!A42</f>
        <v>Soybean oil</v>
      </c>
      <c r="B42" s="24"/>
      <c r="C42" s="24"/>
      <c r="D42" s="24"/>
      <c r="E42" s="24"/>
      <c r="F42" s="24"/>
      <c r="G42" s="24"/>
      <c r="I42" s="24"/>
      <c r="J42" s="24"/>
      <c r="K42" s="24"/>
      <c r="L42" s="24"/>
      <c r="M42" s="24"/>
    </row>
    <row r="43" spans="1:13" ht="12.75" hidden="1">
      <c r="A43" t="str">
        <f>Nutrients!A43</f>
        <v>2007 Starter base mix</v>
      </c>
      <c r="B43" s="24"/>
      <c r="C43" s="24"/>
      <c r="D43" s="24"/>
      <c r="E43" s="24"/>
      <c r="F43" s="24"/>
      <c r="G43" s="24"/>
      <c r="I43" s="24"/>
      <c r="J43" s="24"/>
      <c r="K43" s="24"/>
      <c r="L43" s="24"/>
      <c r="M43" s="24"/>
    </row>
    <row r="44" spans="1:13" ht="12.75" hidden="1">
      <c r="A44" t="str">
        <f>Nutrients!A44</f>
        <v>2007 Grow-finish base mix</v>
      </c>
      <c r="B44" s="24"/>
      <c r="C44" s="24"/>
      <c r="D44" s="24"/>
      <c r="E44" s="24"/>
      <c r="F44" s="24"/>
      <c r="G44" s="24"/>
      <c r="I44" s="24"/>
      <c r="J44" s="24"/>
      <c r="K44" s="24"/>
      <c r="L44" s="24"/>
      <c r="M44" s="24"/>
    </row>
    <row r="45" spans="1:13" ht="12.75" hidden="1">
      <c r="A45" t="str">
        <f>Nutrients!A45</f>
        <v>Developer base mix</v>
      </c>
      <c r="B45" s="24"/>
      <c r="C45" s="24"/>
      <c r="D45" s="24"/>
      <c r="E45" s="24"/>
      <c r="F45" s="24"/>
      <c r="G45" s="24"/>
      <c r="I45" s="24"/>
      <c r="J45" s="24"/>
      <c r="K45" s="24"/>
      <c r="L45" s="24"/>
      <c r="M45" s="24"/>
    </row>
    <row r="46" spans="1:13" ht="12.75" hidden="1">
      <c r="A46" t="str">
        <f>Nutrients!A46</f>
        <v>2007 Sow base mix</v>
      </c>
      <c r="B46" s="24"/>
      <c r="C46" s="24"/>
      <c r="D46" s="24"/>
      <c r="E46" s="24"/>
      <c r="F46" s="24"/>
      <c r="G46" s="24"/>
      <c r="I46" s="24"/>
      <c r="J46" s="24"/>
      <c r="K46" s="24"/>
      <c r="L46" s="24"/>
      <c r="M46" s="24"/>
    </row>
    <row r="47" spans="1:13" ht="12.75" hidden="1">
      <c r="A47" t="str">
        <f>Nutrients!A47</f>
        <v>Dicalcium Phosphate, 18.5% P</v>
      </c>
      <c r="B47" s="24"/>
      <c r="C47" s="24"/>
      <c r="D47" s="24"/>
      <c r="E47" s="24"/>
      <c r="F47" s="24"/>
      <c r="G47" s="24"/>
      <c r="I47" s="24"/>
      <c r="J47" s="24"/>
      <c r="K47" s="24"/>
      <c r="L47" s="24"/>
      <c r="M47" s="24"/>
    </row>
    <row r="48" spans="1:13" ht="12.75">
      <c r="A48" t="str">
        <f>Nutrients!A48</f>
        <v>Monocalcium Phosphate, 21% P</v>
      </c>
      <c r="B48" s="24">
        <v>12</v>
      </c>
      <c r="C48" s="24">
        <v>10</v>
      </c>
      <c r="D48" s="24">
        <v>8</v>
      </c>
      <c r="E48" s="24">
        <v>8</v>
      </c>
      <c r="F48" s="24">
        <v>9</v>
      </c>
      <c r="G48" s="24"/>
      <c r="I48" s="24">
        <v>0</v>
      </c>
      <c r="J48" s="24">
        <v>0</v>
      </c>
      <c r="K48" s="24">
        <v>0</v>
      </c>
      <c r="L48" s="24">
        <v>0</v>
      </c>
      <c r="M48" s="24">
        <v>0</v>
      </c>
    </row>
    <row r="49" spans="1:13" ht="12.75">
      <c r="A49" t="str">
        <f>Nutrients!A49</f>
        <v>Limestone</v>
      </c>
      <c r="B49" s="24">
        <v>18</v>
      </c>
      <c r="C49" s="24">
        <v>18</v>
      </c>
      <c r="D49" s="24">
        <v>18</v>
      </c>
      <c r="E49" s="24">
        <v>18</v>
      </c>
      <c r="F49" s="24">
        <v>18</v>
      </c>
      <c r="G49" s="24"/>
      <c r="I49" s="24">
        <v>8.5</v>
      </c>
      <c r="J49" s="24">
        <v>10</v>
      </c>
      <c r="K49" s="24">
        <v>11</v>
      </c>
      <c r="L49" s="24">
        <v>11.5</v>
      </c>
      <c r="M49" s="24">
        <v>11</v>
      </c>
    </row>
    <row r="50" spans="1:13" ht="12.75">
      <c r="A50" t="str">
        <f>Nutrients!A50</f>
        <v>Salt</v>
      </c>
      <c r="B50" s="24">
        <v>7</v>
      </c>
      <c r="C50" s="24">
        <v>7</v>
      </c>
      <c r="D50" s="24">
        <v>7</v>
      </c>
      <c r="E50" s="24">
        <v>7</v>
      </c>
      <c r="F50" s="24">
        <v>7</v>
      </c>
      <c r="G50" s="24"/>
      <c r="I50" s="24">
        <v>7</v>
      </c>
      <c r="J50" s="24">
        <v>7</v>
      </c>
      <c r="K50" s="24">
        <v>7</v>
      </c>
      <c r="L50" s="24">
        <v>7</v>
      </c>
      <c r="M50" s="24">
        <v>7</v>
      </c>
    </row>
    <row r="51" spans="1:13" ht="12.75" hidden="1">
      <c r="A51" t="str">
        <f>Nutrients!A51</f>
        <v>Zinc oxide</v>
      </c>
      <c r="B51" s="24"/>
      <c r="C51" s="24"/>
      <c r="D51" s="24"/>
      <c r="E51" s="24"/>
      <c r="F51" s="24"/>
      <c r="G51" s="24"/>
      <c r="I51" s="24"/>
      <c r="J51" s="24"/>
      <c r="K51" s="24"/>
      <c r="L51" s="24"/>
      <c r="M51" s="24"/>
    </row>
    <row r="52" spans="1:13" ht="12.75" hidden="1">
      <c r="A52" t="str">
        <f>Nutrients!A52</f>
        <v>Copper sulfate</v>
      </c>
      <c r="B52" s="24"/>
      <c r="C52" s="24"/>
      <c r="D52" s="24"/>
      <c r="E52" s="24"/>
      <c r="F52" s="24"/>
      <c r="G52" s="24"/>
      <c r="I52" s="24"/>
      <c r="J52" s="24"/>
      <c r="K52" s="24"/>
      <c r="L52" s="24"/>
      <c r="M52" s="24"/>
    </row>
    <row r="53" spans="1:13" ht="12.75" hidden="1">
      <c r="A53" t="str">
        <f>Nutrients!A53</f>
        <v>Potassium Chloride</v>
      </c>
      <c r="B53" s="24"/>
      <c r="C53" s="24"/>
      <c r="D53" s="24"/>
      <c r="E53" s="24"/>
      <c r="F53" s="24"/>
      <c r="G53" s="24"/>
      <c r="I53" s="24"/>
      <c r="J53" s="24"/>
      <c r="K53" s="24"/>
      <c r="L53" s="24"/>
      <c r="M53" s="24"/>
    </row>
    <row r="54" spans="1:13" ht="12.75" hidden="1">
      <c r="A54" t="str">
        <f>Nutrients!A54</f>
        <v>Calcium Chloride</v>
      </c>
      <c r="B54" s="24"/>
      <c r="C54" s="24"/>
      <c r="D54" s="24"/>
      <c r="E54" s="24"/>
      <c r="F54" s="24"/>
      <c r="G54" s="24"/>
      <c r="I54" s="24"/>
      <c r="J54" s="24"/>
      <c r="K54" s="24"/>
      <c r="L54" s="24"/>
      <c r="M54" s="24"/>
    </row>
    <row r="55" spans="1:13" ht="12.75">
      <c r="A55" t="str">
        <f>Nutrients!A55</f>
        <v>Vitamin premix with phytase</v>
      </c>
      <c r="B55" s="24">
        <v>3</v>
      </c>
      <c r="C55" s="24">
        <v>3</v>
      </c>
      <c r="D55" s="24">
        <v>2.5</v>
      </c>
      <c r="E55" s="24">
        <v>2</v>
      </c>
      <c r="F55" s="24">
        <v>1.5</v>
      </c>
      <c r="G55" s="24"/>
      <c r="I55" s="24">
        <v>3</v>
      </c>
      <c r="J55" s="24">
        <v>3</v>
      </c>
      <c r="K55" s="24">
        <v>2.5</v>
      </c>
      <c r="L55" s="24">
        <v>2</v>
      </c>
      <c r="M55" s="24">
        <v>1.5</v>
      </c>
    </row>
    <row r="56" spans="1:13" ht="12.75">
      <c r="A56" t="str">
        <f>Nutrients!A56</f>
        <v>Trace mineral premix</v>
      </c>
      <c r="B56" s="24">
        <v>3</v>
      </c>
      <c r="C56" s="24">
        <v>3</v>
      </c>
      <c r="D56" s="24">
        <v>2.5</v>
      </c>
      <c r="E56" s="24">
        <v>2</v>
      </c>
      <c r="F56" s="24">
        <v>1.5</v>
      </c>
      <c r="G56" s="24"/>
      <c r="I56" s="24">
        <v>3</v>
      </c>
      <c r="J56" s="24">
        <v>3</v>
      </c>
      <c r="K56" s="24">
        <v>2.5</v>
      </c>
      <c r="L56" s="24">
        <v>2</v>
      </c>
      <c r="M56" s="24">
        <v>1.5</v>
      </c>
    </row>
    <row r="57" spans="1:13" ht="12.75" hidden="1">
      <c r="A57" t="str">
        <f>Nutrients!A57</f>
        <v>Sow add pack</v>
      </c>
      <c r="B57" s="24"/>
      <c r="C57" s="24"/>
      <c r="D57" s="24"/>
      <c r="E57" s="24"/>
      <c r="F57" s="24"/>
      <c r="G57" s="24"/>
      <c r="I57" s="24"/>
      <c r="J57" s="24"/>
      <c r="K57" s="24"/>
      <c r="L57" s="24"/>
      <c r="M57" s="24"/>
    </row>
    <row r="58" spans="1:13" ht="12.75">
      <c r="A58" t="str">
        <f>Nutrients!A58</f>
        <v>Lysine HCl</v>
      </c>
      <c r="B58" s="24">
        <v>3</v>
      </c>
      <c r="C58" s="24">
        <v>3</v>
      </c>
      <c r="D58" s="24">
        <v>3</v>
      </c>
      <c r="E58" s="24">
        <v>3</v>
      </c>
      <c r="F58" s="24">
        <v>3</v>
      </c>
      <c r="G58" s="24"/>
      <c r="I58" s="24">
        <v>3</v>
      </c>
      <c r="J58" s="24">
        <v>3</v>
      </c>
      <c r="K58" s="24">
        <v>3</v>
      </c>
      <c r="L58" s="24">
        <v>3</v>
      </c>
      <c r="M58" s="24">
        <v>3</v>
      </c>
    </row>
    <row r="59" spans="1:13" ht="12.75" hidden="1">
      <c r="A59" t="str">
        <f>Nutrients!A59</f>
        <v>DL-Methionine</v>
      </c>
      <c r="B59" s="24"/>
      <c r="C59" s="24"/>
      <c r="D59" s="24"/>
      <c r="E59" s="24"/>
      <c r="F59" s="24"/>
      <c r="G59" s="24"/>
      <c r="I59" s="24"/>
      <c r="J59" s="24"/>
      <c r="K59" s="24"/>
      <c r="L59" s="24"/>
      <c r="M59" s="24"/>
    </row>
    <row r="60" spans="1:13" ht="12.75" hidden="1">
      <c r="A60" t="str">
        <f>Nutrients!A60</f>
        <v>L-Threonine</v>
      </c>
      <c r="B60" s="24"/>
      <c r="C60" s="24"/>
      <c r="D60" s="24"/>
      <c r="E60" s="24"/>
      <c r="F60" s="24"/>
      <c r="G60" s="24"/>
      <c r="I60" s="24"/>
      <c r="J60" s="24"/>
      <c r="K60" s="24"/>
      <c r="L60" s="24"/>
      <c r="M60" s="24"/>
    </row>
    <row r="61" spans="1:13" ht="12.75" hidden="1">
      <c r="A61" t="str">
        <f>Nutrients!A61</f>
        <v>L-Tryptophan</v>
      </c>
      <c r="B61" s="24"/>
      <c r="C61" s="24"/>
      <c r="D61" s="24"/>
      <c r="E61" s="24"/>
      <c r="F61" s="24"/>
      <c r="G61" s="24"/>
      <c r="I61" s="24"/>
      <c r="J61" s="24"/>
      <c r="K61" s="24"/>
      <c r="L61" s="24"/>
      <c r="M61" s="24"/>
    </row>
    <row r="62" spans="1:13" ht="12.75" hidden="1">
      <c r="A62" t="str">
        <f>Nutrients!A62</f>
        <v>Methionine hydroxy analog</v>
      </c>
      <c r="B62" s="24"/>
      <c r="C62" s="24"/>
      <c r="D62" s="24"/>
      <c r="E62" s="24"/>
      <c r="F62" s="24"/>
      <c r="G62" s="24"/>
      <c r="I62" s="24"/>
      <c r="J62" s="24"/>
      <c r="K62" s="24"/>
      <c r="L62" s="24"/>
      <c r="M62" s="24"/>
    </row>
    <row r="63" spans="1:13" ht="13.5" thickBot="1">
      <c r="A63" t="str">
        <f>Nutrients!A63</f>
        <v>Paylean, 9 g/lb</v>
      </c>
      <c r="B63" s="24"/>
      <c r="C63" s="24"/>
      <c r="D63" s="24"/>
      <c r="E63" s="24"/>
      <c r="F63" s="24"/>
      <c r="G63" s="24"/>
      <c r="I63" s="24"/>
      <c r="J63" s="24"/>
      <c r="K63" s="24"/>
      <c r="L63" s="24"/>
      <c r="M63" s="24"/>
    </row>
    <row r="64" spans="1:13" ht="13.5" hidden="1" thickBot="1">
      <c r="A64" t="str">
        <f>Nutrients!A64</f>
        <v>Antibiotic 1</v>
      </c>
      <c r="B64" s="24"/>
      <c r="C64" s="24"/>
      <c r="D64" s="24"/>
      <c r="E64" s="24"/>
      <c r="F64" s="24"/>
      <c r="G64" s="24"/>
      <c r="I64" s="24"/>
      <c r="J64" s="24"/>
      <c r="K64" s="24"/>
      <c r="L64" s="24"/>
      <c r="M64" s="24"/>
    </row>
    <row r="65" spans="1:13" ht="13.5" hidden="1" thickBot="1">
      <c r="A65" t="str">
        <f>Nutrients!A65</f>
        <v>Antibiotic 2</v>
      </c>
      <c r="B65" s="24"/>
      <c r="C65" s="24"/>
      <c r="D65" s="24"/>
      <c r="E65" s="24"/>
      <c r="F65" s="24"/>
      <c r="G65" s="24"/>
      <c r="I65" s="24"/>
      <c r="J65" s="24"/>
      <c r="K65" s="24"/>
      <c r="L65" s="24"/>
      <c r="M65" s="24"/>
    </row>
    <row r="66" spans="1:13" ht="13.5" hidden="1" thickBot="1">
      <c r="A66" t="str">
        <f>Nutrients!A66</f>
        <v>Antibiotic 3</v>
      </c>
      <c r="B66" s="24"/>
      <c r="C66" s="24"/>
      <c r="D66" s="24"/>
      <c r="E66" s="24"/>
      <c r="F66" s="24"/>
      <c r="G66" s="24"/>
      <c r="I66" s="24"/>
      <c r="J66" s="24"/>
      <c r="K66" s="24"/>
      <c r="L66" s="24"/>
      <c r="M66" s="24"/>
    </row>
    <row r="67" spans="1:13" ht="13.5" hidden="1" thickBot="1">
      <c r="A67" t="str">
        <f>Nutrients!A67</f>
        <v>Antibiotic 4</v>
      </c>
      <c r="B67" s="24"/>
      <c r="C67" s="24"/>
      <c r="D67" s="24"/>
      <c r="E67" s="24"/>
      <c r="F67" s="24"/>
      <c r="G67" s="24"/>
      <c r="I67" s="24"/>
      <c r="J67" s="24"/>
      <c r="K67" s="24"/>
      <c r="L67" s="24"/>
      <c r="M67" s="24"/>
    </row>
    <row r="68" spans="1:13" ht="13.5" hidden="1" thickBot="1">
      <c r="A68" t="str">
        <f>Nutrients!A68</f>
        <v>Acidifier</v>
      </c>
      <c r="B68" s="24"/>
      <c r="C68" s="24"/>
      <c r="D68" s="24"/>
      <c r="E68" s="24"/>
      <c r="F68" s="24"/>
      <c r="I68" s="24"/>
      <c r="J68" s="24"/>
      <c r="K68" s="24"/>
      <c r="L68" s="24"/>
      <c r="M68" s="24"/>
    </row>
    <row r="69" spans="1:13" ht="13.5" hidden="1" thickBot="1">
      <c r="A69" t="str">
        <f>Nutrients!A69</f>
        <v>Vitamin E, 20,000 IU</v>
      </c>
      <c r="B69" s="24"/>
      <c r="C69" s="24"/>
      <c r="D69" s="24"/>
      <c r="E69" s="24"/>
      <c r="F69" s="24"/>
      <c r="I69" s="24"/>
      <c r="J69" s="24"/>
      <c r="K69" s="24"/>
      <c r="L69" s="24"/>
      <c r="M69" s="24"/>
    </row>
    <row r="70" spans="1:13" ht="13.5" hidden="1" thickBot="1">
      <c r="A70" t="str">
        <f>Nutrients!A70</f>
        <v>Phase 2 supplement A</v>
      </c>
      <c r="B70" s="24"/>
      <c r="C70" s="24"/>
      <c r="D70" s="24"/>
      <c r="E70" s="24"/>
      <c r="F70" s="24"/>
      <c r="I70" s="24"/>
      <c r="J70" s="24"/>
      <c r="K70" s="24"/>
      <c r="L70" s="24"/>
      <c r="M70" s="24"/>
    </row>
    <row r="71" spans="1:13" ht="13.5" hidden="1" thickBot="1">
      <c r="A71" t="str">
        <f>Nutrients!A71</f>
        <v>Phase 2 supplement B</v>
      </c>
      <c r="B71" s="24"/>
      <c r="C71" s="24"/>
      <c r="D71" s="24"/>
      <c r="E71" s="24"/>
      <c r="F71" s="24"/>
      <c r="I71" s="24"/>
      <c r="J71" s="24"/>
      <c r="K71" s="24"/>
      <c r="L71" s="24"/>
      <c r="M71" s="24"/>
    </row>
    <row r="72" spans="1:13" ht="13.5" hidden="1" thickBot="1">
      <c r="A72" t="str">
        <f>Nutrients!A72</f>
        <v>Phase 2 supplement C</v>
      </c>
      <c r="B72" s="24"/>
      <c r="C72" s="24"/>
      <c r="D72" s="24"/>
      <c r="E72" s="24"/>
      <c r="F72" s="24"/>
      <c r="I72" s="24"/>
      <c r="J72" s="24"/>
      <c r="K72" s="24"/>
      <c r="L72" s="24"/>
      <c r="M72" s="24"/>
    </row>
    <row r="73" spans="1:13" ht="13.5" hidden="1" thickBot="1">
      <c r="A73" t="str">
        <f>Nutrients!A73</f>
        <v>Phase 2 supplement D</v>
      </c>
      <c r="B73" s="24"/>
      <c r="C73" s="24"/>
      <c r="D73" s="24"/>
      <c r="E73" s="24"/>
      <c r="F73" s="24"/>
      <c r="I73" s="24"/>
      <c r="J73" s="24"/>
      <c r="K73" s="24"/>
      <c r="L73" s="24"/>
      <c r="M73" s="24"/>
    </row>
    <row r="74" spans="1:13" ht="13.5" hidden="1" thickBot="1">
      <c r="A74" t="str">
        <f>Nutrients!A74</f>
        <v>DDGS, lys:CP &gt; 2.8</v>
      </c>
      <c r="B74" s="24"/>
      <c r="C74" s="24"/>
      <c r="D74" s="24"/>
      <c r="E74" s="24"/>
      <c r="F74" s="24"/>
      <c r="I74" s="24"/>
      <c r="J74" s="24"/>
      <c r="K74" s="24"/>
      <c r="L74" s="24"/>
      <c r="M74" s="24"/>
    </row>
    <row r="75" spans="1:13" ht="13.5" hidden="1" thickBot="1">
      <c r="A75" t="str">
        <f>Nutrients!A75</f>
        <v>Extra ingredient 2</v>
      </c>
      <c r="B75" s="24"/>
      <c r="C75" s="24"/>
      <c r="D75" s="24"/>
      <c r="E75" s="24"/>
      <c r="F75" s="24"/>
      <c r="I75" s="24"/>
      <c r="J75" s="24"/>
      <c r="K75" s="24"/>
      <c r="L75" s="24"/>
      <c r="M75" s="24"/>
    </row>
    <row r="76" spans="1:13" ht="13.5" hidden="1" thickBot="1">
      <c r="A76" t="str">
        <f>Nutrients!A76</f>
        <v>Extra ingredient 3</v>
      </c>
      <c r="B76" s="24"/>
      <c r="C76" s="24"/>
      <c r="D76" s="24"/>
      <c r="E76" s="24"/>
      <c r="F76" s="24"/>
      <c r="I76" s="24"/>
      <c r="J76" s="24"/>
      <c r="K76" s="24"/>
      <c r="L76" s="24"/>
      <c r="M76" s="24"/>
    </row>
    <row r="77" spans="1:13" ht="13.5" hidden="1" thickBot="1">
      <c r="A77" t="str">
        <f>Nutrients!A77</f>
        <v>Extra ingredient 4</v>
      </c>
      <c r="B77" s="24"/>
      <c r="C77" s="24"/>
      <c r="D77" s="24"/>
      <c r="E77" s="24"/>
      <c r="F77" s="24"/>
      <c r="I77" s="24"/>
      <c r="J77" s="24"/>
      <c r="K77" s="24"/>
      <c r="L77" s="24"/>
      <c r="M77" s="24"/>
    </row>
    <row r="78" spans="1:13" ht="13.5" hidden="1" thickBot="1">
      <c r="A78" t="str">
        <f>Nutrients!A78</f>
        <v>Extra ingredient 5</v>
      </c>
      <c r="B78" s="24"/>
      <c r="C78" s="24"/>
      <c r="D78" s="24"/>
      <c r="E78" s="24"/>
      <c r="F78" s="24"/>
      <c r="I78" s="24"/>
      <c r="J78" s="24"/>
      <c r="K78" s="24"/>
      <c r="L78" s="24"/>
      <c r="M78" s="24"/>
    </row>
    <row r="79" spans="1:13" ht="13.5" hidden="1" thickBot="1">
      <c r="A79" t="str">
        <f>Nutrients!A79</f>
        <v>Extra ingredient 6</v>
      </c>
      <c r="B79" s="24"/>
      <c r="C79" s="24"/>
      <c r="D79" s="24"/>
      <c r="E79" s="24"/>
      <c r="F79" s="24"/>
      <c r="I79" s="24"/>
      <c r="J79" s="24"/>
      <c r="K79" s="24"/>
      <c r="L79" s="24"/>
      <c r="M79" s="24"/>
    </row>
    <row r="80" spans="1:13" ht="12.75">
      <c r="A80" s="4" t="s">
        <v>30</v>
      </c>
      <c r="B80" s="4">
        <f>SUM(B6:B79)</f>
        <v>2000</v>
      </c>
      <c r="C80" s="4">
        <f>SUM(C6:C79)</f>
        <v>2000</v>
      </c>
      <c r="D80" s="4">
        <f>SUM(D6:D79)</f>
        <v>2000</v>
      </c>
      <c r="E80" s="4">
        <f>SUM(E6:E79)</f>
        <v>2000</v>
      </c>
      <c r="F80" s="4">
        <f>SUM(F6:F79)</f>
        <v>2000</v>
      </c>
      <c r="I80" s="4">
        <f>SUM(I6:I79)</f>
        <v>2000</v>
      </c>
      <c r="J80" s="4">
        <f>SUM(J6:J79)</f>
        <v>2000</v>
      </c>
      <c r="K80" s="4">
        <f>SUM(K6:K79)</f>
        <v>2000</v>
      </c>
      <c r="L80" s="4">
        <f>SUM(L6:L79)</f>
        <v>2000</v>
      </c>
      <c r="M80" s="4">
        <f>SUM(M6:M79)</f>
        <v>2000</v>
      </c>
    </row>
    <row r="81" spans="1:13" ht="12.75">
      <c r="A81" s="22"/>
      <c r="B81" s="14"/>
      <c r="C81" s="14"/>
      <c r="D81" s="14"/>
      <c r="E81" s="14"/>
      <c r="F81" s="14"/>
      <c r="I81" s="14"/>
      <c r="J81" s="14"/>
      <c r="K81" s="14"/>
      <c r="L81" s="14"/>
      <c r="M81" s="14"/>
    </row>
    <row r="82" spans="1:13" ht="12.75">
      <c r="A82" s="23" t="s">
        <v>105</v>
      </c>
      <c r="B82" s="35">
        <f>(0.000025*((B4+B5)/2)^2-0.016*((B4+B5)/2)+4.53)*0.87</f>
        <v>3.12819375</v>
      </c>
      <c r="C82" s="35">
        <f>(0.000025*((C4+C5)/2)^2-0.016*((C4+C5)/2)+4.53)*0.87</f>
        <v>2.7666</v>
      </c>
      <c r="D82" s="35">
        <f>(0.000025*((D4+D5)/2)^2-0.016*((D4+D5)/2)+4.53)*0.87</f>
        <v>2.3799937500000006</v>
      </c>
      <c r="E82" s="35">
        <f>(0.000025*((E4+E5)/2)^2-0.016*((E4+E5)/2)+4.53)*0.87</f>
        <v>2.05374375</v>
      </c>
      <c r="F82" s="35">
        <f>(0.000025*((F4+F5)/2)^2-0.016*((F4+F5)/2)+4.53)*0.87</f>
        <v>1.8362437500000006</v>
      </c>
      <c r="I82" s="35">
        <f>(0.000025*((I4+I5)/2)^2-0.016*((I4+I5)/2)+4.53)*0.87</f>
        <v>3.12819375</v>
      </c>
      <c r="J82" s="35">
        <f>(0.000025*((J4+J5)/2)^2-0.016*((J4+J5)/2)+4.53)*0.87</f>
        <v>2.7666</v>
      </c>
      <c r="K82" s="35">
        <f>(0.000025*((K4+K5)/2)^2-0.016*((K4+K5)/2)+4.53)*0.87</f>
        <v>2.3799937500000006</v>
      </c>
      <c r="L82" s="35">
        <f>(0.000025*((L4+L5)/2)^2-0.016*((L4+L5)/2)+4.53)*0.87</f>
        <v>2.05374375</v>
      </c>
      <c r="M82" s="35">
        <f>(0.000025*((M4+M5)/2)^2-0.016*((M4+M5)/2)+4.53)*0.87</f>
        <v>1.8445359375000003</v>
      </c>
    </row>
    <row r="83" spans="1:13" ht="12.75">
      <c r="A83" s="3" t="s">
        <v>106</v>
      </c>
      <c r="B83" s="98">
        <f>IF(B82="","",B94*2.2046*B82/10000)</f>
        <v>1.043670721007073</v>
      </c>
      <c r="C83" s="98">
        <f>IF(C82="","",C94*2.2046*C82/10000)</f>
        <v>0.9245059223816794</v>
      </c>
      <c r="D83" s="98">
        <f>IF(D82="","",D94*2.2046*D82/10000)</f>
        <v>0.796991226947215</v>
      </c>
      <c r="E83" s="98">
        <f>IF(E82="","",E94*2.2046*E82/10000)</f>
        <v>0.688450312482896</v>
      </c>
      <c r="F83" s="98">
        <f>IF(F82="","",F94*2.2046*F82/10000)</f>
        <v>0.615744979131274</v>
      </c>
      <c r="I83" s="98">
        <f>IF(I82="","",I94*2.2046*I82/10000)</f>
        <v>1.0442372151052988</v>
      </c>
      <c r="J83" s="98">
        <f>IF(J82="","",J94*2.2046*J82/10000)</f>
        <v>0.9249628936007633</v>
      </c>
      <c r="K83" s="98">
        <f>IF(K82="","",K94*2.2046*K82/10000)</f>
        <v>0.7975501356257994</v>
      </c>
      <c r="L83" s="98">
        <f>IF(L82="","",L94*2.2046*L82/10000)</f>
        <v>0.6887568451690451</v>
      </c>
      <c r="M83" s="98">
        <f>IF(M82="","",M94*2.2046*M82/10000)</f>
        <v>0.6189517734060966</v>
      </c>
    </row>
    <row r="84" spans="1:13" ht="12.75">
      <c r="A84" t="s">
        <v>108</v>
      </c>
      <c r="B84" s="99">
        <v>1.04</v>
      </c>
      <c r="C84" s="99">
        <v>0.92</v>
      </c>
      <c r="D84" s="99">
        <v>0.8</v>
      </c>
      <c r="E84" s="99">
        <v>0.69</v>
      </c>
      <c r="F84" s="99">
        <v>0.62</v>
      </c>
      <c r="G84" s="24"/>
      <c r="I84" s="99">
        <v>1.04</v>
      </c>
      <c r="J84" s="99">
        <v>0.92</v>
      </c>
      <c r="K84" s="99">
        <v>0.8</v>
      </c>
      <c r="L84" s="99">
        <v>0.69</v>
      </c>
      <c r="M84" s="99">
        <v>0.62</v>
      </c>
    </row>
    <row r="85" spans="1:13" ht="12.75">
      <c r="A85" s="12" t="s">
        <v>109</v>
      </c>
      <c r="B85" s="98">
        <f>(SUMPRODUCT(B$8:B$79,Nutrients!$E$8:$E$79)+(IF($A6=Nutrients!$A$8,Nutrients!$E$8,Nutrients!$E$9)*B$6)+(((IF($A7=Nutrients!$A$19,Nutrients!$E$19,(IF($A7=Nutrients!$A$20,Nutrients!$E$20,Nutrients!$E$21)))))*B$7))/2000</f>
        <v>1.1663465839694658</v>
      </c>
      <c r="C85" s="98">
        <f>(SUMPRODUCT(C$8:C$79,Nutrients!$E$8:$E$79)+(IF($A6=Nutrients!$A$8,Nutrients!$E$8,Nutrients!$E$9)*C$6)+(((IF($A7=Nutrients!$A$19,Nutrients!$E$19,(IF($A7=Nutrients!$A$20,Nutrients!$E$20,Nutrients!$E$21)))))*C$7))/2000</f>
        <v>1.0347046564885496</v>
      </c>
      <c r="D85" s="98">
        <f>(SUMPRODUCT(D$8:D$79,Nutrients!$E$8:$E$79)+(IF($A6=Nutrients!$A$8,Nutrients!$E$8,Nutrients!$E$9)*D$6)+(((IF($A7=Nutrients!$A$19,Nutrients!$E$19,(IF($A7=Nutrients!$A$20,Nutrients!$E$20,Nutrients!$E$21)))))*D$7))/2000</f>
        <v>0.9030814599236642</v>
      </c>
      <c r="E85" s="98">
        <f>(SUMPRODUCT(E$8:E$79,Nutrients!$E$8:$E$79)+(IF($A6=Nutrients!$A$8,Nutrients!$E$8,Nutrients!$E$9)*E$6)+(((IF($A7=Nutrients!$A$19,Nutrients!$E$19,(IF($A7=Nutrients!$A$20,Nutrients!$E$20,Nutrients!$E$21)))))*E$7))/2000</f>
        <v>0.7823940839694657</v>
      </c>
      <c r="F85" s="98">
        <f>(SUMPRODUCT(F$8:F$79,Nutrients!$E$8:$E$79)+(IF($A6=Nutrients!$A$8,Nutrients!$E$8,Nutrients!$E$9)*F$6)+(((IF($A7=Nutrients!$A$19,Nutrients!$E$19,(IF($A7=Nutrients!$A$20,Nutrients!$E$20,Nutrients!$E$21)))))*F$7))/2000</f>
        <v>0.7055811068702293</v>
      </c>
      <c r="G85" s="29"/>
      <c r="I85" s="98">
        <f>(SUMPRODUCT(I$8:I$79,Nutrients!$E$8:$E$79)+(IF($A6=Nutrients!$A$8,Nutrients!$E$8,Nutrients!$E$9)*I$6)+(((IF($A7=Nutrients!$A$19,Nutrients!$E$19,(IF($A7=Nutrients!$A$20,Nutrients!$E$20,Nutrients!$E$21)))))*I$7))/2000</f>
        <v>1.1748223902671762</v>
      </c>
      <c r="J85" s="98">
        <f>(SUMPRODUCT(J$8:J$79,Nutrients!$E$8:$E$79)+(IF($A6=Nutrients!$A$8,Nutrients!$E$8,Nutrients!$E$9)*J$6)+(((IF($A7=Nutrients!$A$19,Nutrients!$E$19,(IF($A7=Nutrients!$A$20,Nutrients!$E$20,Nutrients!$E$21)))))*J$7))/2000</f>
        <v>1.0417693893129774</v>
      </c>
      <c r="K85" s="98">
        <f>(SUMPRODUCT(K$8:K$79,Nutrients!$E$8:$E$79)+(IF($A6=Nutrients!$A$8,Nutrients!$E$8,Nutrients!$E$9)*K$6)+(((IF($A7=Nutrients!$A$19,Nutrients!$E$19,(IF($A7=Nutrients!$A$20,Nutrients!$E$20,Nutrients!$E$21)))))*K$7))/2000</f>
        <v>0.9087444847328245</v>
      </c>
      <c r="L85" s="98">
        <f>(SUMPRODUCT(L$8:L$79,Nutrients!$E$8:$E$79)+(IF($A6=Nutrients!$A$8,Nutrients!$E$8,Nutrients!$E$9)*L$6)+(((IF($A7=Nutrients!$A$19,Nutrients!$E$19,(IF($A7=Nutrients!$A$20,Nutrients!$E$20,Nutrients!$E$21)))))*L$7))/2000</f>
        <v>0.7880477433206111</v>
      </c>
      <c r="M85" s="98">
        <f>(SUMPRODUCT(M$8:M$79,Nutrients!$E$8:$E$79)+(IF($A6=Nutrients!$A$8,Nutrients!$E$8,Nutrients!$E$9)*M$6)+(((IF($A7=Nutrients!$A$19,Nutrients!$E$19,(IF($A7=Nutrients!$A$20,Nutrients!$E$20,Nutrients!$E$21)))))*M$7))/2000</f>
        <v>0.7116665171755724</v>
      </c>
    </row>
    <row r="86" spans="1:13" ht="12.75">
      <c r="A86" s="12" t="s">
        <v>118</v>
      </c>
      <c r="B86" s="95">
        <f>IF(B$4="","",B84/(B94*2.2046)*10000)</f>
        <v>3.117191499691359</v>
      </c>
      <c r="C86" s="95">
        <f>IF(C$4="","",C84/(C94*2.2046)*10000)</f>
        <v>2.7531159491579684</v>
      </c>
      <c r="D86" s="95">
        <f>IF(D$4="","",D84/(D94*2.2046)*10000)</f>
        <v>2.3889786181123203</v>
      </c>
      <c r="E86" s="95">
        <f>IF(E$4="","",E84/(E94*2.2046)*10000)</f>
        <v>2.058366685010701</v>
      </c>
      <c r="F86" s="95">
        <f>IF(F$4="","",F84/(F94*2.2046)*10000)</f>
        <v>1.8489328595195635</v>
      </c>
      <c r="G86" s="29"/>
      <c r="I86" s="95">
        <f>IF(I$4="","",I84/(I94*2.2046)*10000)</f>
        <v>3.1155004370074493</v>
      </c>
      <c r="J86" s="95">
        <f>IF(J$4="","",J84/(J94*2.2046)*10000)</f>
        <v>2.751755792161109</v>
      </c>
      <c r="K86" s="95">
        <f>IF(K$4="","",K84/(K94*2.2046)*10000)</f>
        <v>2.387304465199579</v>
      </c>
      <c r="L86" s="95">
        <f>IF(L$4="","",L84/(L94*2.2046)*10000)</f>
        <v>2.057450604577582</v>
      </c>
      <c r="M86" s="95">
        <f>IF(M$4="","",M84/(M94*2.2046)*10000)</f>
        <v>1.8476597537748256</v>
      </c>
    </row>
    <row r="87" spans="1:13" ht="12.75">
      <c r="A87" s="5" t="s">
        <v>110</v>
      </c>
      <c r="B87" s="92">
        <f>(SUMPRODUCT(B$8:B$79,Nutrients!$AZ$8:$AZ$79)+(IF($A$6=Nutrients!$A$8,Nutrients!$AZ$8,Nutrients!$AZ$9)*B$6)+(((IF($A$7=Nutrients!$A$19,Nutrients!$AZ$19,(IF($A$7=Nutrients!$A$20,Nutrients!$AZ$20,Nutrients!$AZ$21)))))*B$7))/2000/B$84</f>
        <v>0.6934767353567236</v>
      </c>
      <c r="C87" s="92">
        <f>(SUMPRODUCT(C$8:C$79,Nutrients!$AZ$8:$AZ$79)+(IF($A$6=Nutrients!$A$8,Nutrients!$AZ$8,Nutrients!$AZ$9)*C$6)+(((IF($A$7=Nutrients!$A$19,Nutrients!$AZ$19,(IF($A$7=Nutrients!$A$20,Nutrients!$AZ$20,Nutrients!$AZ$21)))))*C$7))/2000/C$84</f>
        <v>0.6969876344175241</v>
      </c>
      <c r="D87" s="92">
        <f>(SUMPRODUCT(D$8:D$79,Nutrients!$AZ$8:$AZ$79)+(IF($A$6=Nutrients!$A$8,Nutrients!$AZ$8,Nutrients!$AZ$9)*D$6)+(((IF($A$7=Nutrients!$A$19,Nutrients!$AZ$19,(IF($A$7=Nutrients!$A$20,Nutrients!$AZ$20,Nutrients!$AZ$21)))))*D$7))/2000/D$84</f>
        <v>0.7016194524093512</v>
      </c>
      <c r="E87" s="92">
        <f>(SUMPRODUCT(E$8:E$79,Nutrients!$AZ$8:$AZ$79)+(IF($A$6=Nutrients!$A$8,Nutrients!$AZ$8,Nutrients!$AZ$9)*E$6)+(((IF($A$7=Nutrients!$A$19,Nutrients!$AZ$19,(IF($A$7=Nutrients!$A$20,Nutrients!$AZ$20,Nutrients!$AZ$21)))))*E$7))/2000/E$84</f>
        <v>0.7071433040159312</v>
      </c>
      <c r="F87" s="92">
        <f>(SUMPRODUCT(F$8:F$79,Nutrients!$AZ$8:$AZ$79)+(IF($A$6=Nutrients!$A$8,Nutrients!$AZ$8,Nutrients!$AZ$9)*F$6)+(((IF($A$7=Nutrients!$A$19,Nutrients!$AZ$19,(IF($A$7=Nutrients!$A$20,Nutrients!$AZ$20,Nutrients!$AZ$21)))))*F$7))/2000/F$84</f>
        <v>0.7116234702043835</v>
      </c>
      <c r="G87" s="29"/>
      <c r="I87" s="92">
        <f>(SUMPRODUCT(I$8:I$79,Nutrients!$AZ$8:$AZ$79)+(IF($A$6=Nutrients!$A$8,Nutrients!$AZ$8,Nutrients!$AZ$9)*I$6)+(((IF($A$7=Nutrients!$A$19,Nutrients!$AZ$19,(IF($A$7=Nutrients!$A$20,Nutrients!$AZ$20,Nutrients!$AZ$21)))))*I$7))/2000/I$84</f>
        <v>0.6845079887055935</v>
      </c>
      <c r="J87" s="92">
        <f>(SUMPRODUCT(J$8:J$79,Nutrients!$AZ$8:$AZ$79)+(IF($A$6=Nutrients!$A$8,Nutrients!$AZ$8,Nutrients!$AZ$9)*J$6)+(((IF($A$7=Nutrients!$A$19,Nutrients!$AZ$19,(IF($A$7=Nutrients!$A$20,Nutrients!$AZ$20,Nutrients!$AZ$21)))))*J$7))/2000/J$84</f>
        <v>0.6885437172253571</v>
      </c>
      <c r="K87" s="92">
        <f>(SUMPRODUCT(K$8:K$79,Nutrients!$AZ$8:$AZ$79)+(IF($A$6=Nutrients!$A$8,Nutrients!$AZ$8,Nutrients!$AZ$9)*K$6)+(((IF($A$7=Nutrients!$A$19,Nutrients!$AZ$19,(IF($A$7=Nutrients!$A$20,Nutrients!$AZ$20,Nutrients!$AZ$21)))))*K$7))/2000/K$84</f>
        <v>0.693891638120229</v>
      </c>
      <c r="L87" s="92">
        <f>(SUMPRODUCT(L$8:L$79,Nutrients!$AZ$8:$AZ$79)+(IF($A$6=Nutrients!$A$8,Nutrients!$AZ$8,Nutrients!$AZ$9)*L$6)+(((IF($A$7=Nutrients!$A$19,Nutrients!$AZ$19,(IF($A$7=Nutrients!$A$20,Nutrients!$AZ$20,Nutrients!$AZ$21)))))*L$7))/2000/L$84</f>
        <v>0.6981443023979428</v>
      </c>
      <c r="M87" s="92">
        <f>(SUMPRODUCT(M$8:M$79,Nutrients!$AZ$8:$AZ$79)+(IF($A$6=Nutrients!$A$8,Nutrients!$AZ$8,Nutrients!$AZ$9)*M$6)+(((IF($A$7=Nutrients!$A$19,Nutrients!$AZ$19,(IF($A$7=Nutrients!$A$20,Nutrients!$AZ$20,Nutrients!$AZ$21)))))*M$7))/2000/M$84</f>
        <v>0.7008933327690224</v>
      </c>
    </row>
    <row r="88" spans="1:13" ht="12.75">
      <c r="A88" s="5" t="s">
        <v>111</v>
      </c>
      <c r="B88" s="92">
        <f>(SUMPRODUCT(B$8:B$79,Nutrients!$BA$8:$BA$79)+(IF($A$6=Nutrients!$A$8,Nutrients!$BA$8,Nutrients!$BA$9)*B$6)+(((IF($A$7=Nutrients!$A$19,Nutrients!$BA$19,(IF($A$7=Nutrients!$A$20,Nutrients!$BA$20,Nutrients!$BA$21)))))*B$7))/2000/B$84</f>
        <v>1.5050835555820612</v>
      </c>
      <c r="C88" s="92">
        <f>(SUMPRODUCT(C$8:C$79,Nutrients!$BA$8:$BA$79)+(IF($A$6=Nutrients!$A$8,Nutrients!$BA$8,Nutrients!$BA$9)*C$6)+(((IF($A$7=Nutrients!$A$19,Nutrients!$BA$19,(IF($A$7=Nutrients!$A$20,Nutrients!$BA$20,Nutrients!$BA$21)))))*C$7))/2000/C$84</f>
        <v>1.5804917229505477</v>
      </c>
      <c r="D88" s="92">
        <f>(SUMPRODUCT(D$8:D$79,Nutrients!$BA$8:$BA$79)+(IF($A$6=Nutrients!$A$8,Nutrients!$BA$8,Nutrients!$BA$9)*D$6)+(((IF($A$7=Nutrients!$A$19,Nutrients!$BA$19,(IF($A$7=Nutrients!$A$20,Nutrients!$BA$20,Nutrients!$BA$21)))))*D$7))/2000/D$84</f>
        <v>1.6789733368916986</v>
      </c>
      <c r="E88" s="92">
        <f>(SUMPRODUCT(E$8:E$79,Nutrients!$BA$8:$BA$79)+(IF($A$6=Nutrients!$A$8,Nutrients!$BA$8,Nutrients!$BA$9)*E$6)+(((IF($A$7=Nutrients!$A$19,Nutrients!$BA$19,(IF($A$7=Nutrients!$A$20,Nutrients!$BA$20,Nutrients!$BA$21)))))*E$7))/2000/E$84</f>
        <v>1.7984246888483244</v>
      </c>
      <c r="F88" s="92">
        <f>(SUMPRODUCT(F$8:F$79,Nutrients!$BA$8:$BA$79)+(IF($A$6=Nutrients!$A$8,Nutrients!$BA$8,Nutrients!$BA$9)*F$6)+(((IF($A$7=Nutrients!$A$19,Nutrients!$BA$19,(IF($A$7=Nutrients!$A$20,Nutrients!$BA$20,Nutrients!$BA$21)))))*F$7))/2000/F$84</f>
        <v>1.8961375908027587</v>
      </c>
      <c r="G88" s="29"/>
      <c r="I88" s="92">
        <f>(SUMPRODUCT(I$8:I$79,Nutrients!$BA$8:$BA$79)+(IF($A$6=Nutrients!$A$8,Nutrients!$BA$8,Nutrients!$BA$9)*I$6)+(((IF($A$7=Nutrients!$A$19,Nutrients!$BA$19,(IF($A$7=Nutrients!$A$20,Nutrients!$BA$20,Nutrients!$BA$21)))))*I$7))/2000/I$84</f>
        <v>1.507315619426197</v>
      </c>
      <c r="J88" s="92">
        <f>(SUMPRODUCT(J$8:J$79,Nutrients!$BA$8:$BA$79)+(IF($A$6=Nutrients!$A$8,Nutrients!$BA$8,Nutrients!$BA$9)*J$6)+(((IF($A$7=Nutrients!$A$19,Nutrients!$BA$19,(IF($A$7=Nutrients!$A$20,Nutrients!$BA$20,Nutrients!$BA$21)))))*J$7))/2000/J$84</f>
        <v>1.5826270726850322</v>
      </c>
      <c r="K88" s="92">
        <f>(SUMPRODUCT(K$8:K$79,Nutrients!$BA$8:$BA$79)+(IF($A$6=Nutrients!$A$8,Nutrients!$BA$8,Nutrients!$BA$9)*K$6)+(((IF($A$7=Nutrients!$A$19,Nutrients!$BA$19,(IF($A$7=Nutrients!$A$20,Nutrients!$BA$20,Nutrients!$BA$21)))))*K$7))/2000/K$84</f>
        <v>1.6812084564646947</v>
      </c>
      <c r="L88" s="92">
        <f>(SUMPRODUCT(L$8:L$79,Nutrients!$BA$8:$BA$79)+(IF($A$6=Nutrients!$A$8,Nutrients!$BA$8,Nutrients!$BA$9)*L$6)+(((IF($A$7=Nutrients!$A$19,Nutrients!$BA$19,(IF($A$7=Nutrients!$A$20,Nutrients!$BA$20,Nutrients!$BA$21)))))*L$7))/2000/L$84</f>
        <v>1.8007546846650633</v>
      </c>
      <c r="M88" s="92">
        <f>(SUMPRODUCT(M$8:M$79,Nutrients!$BA$8:$BA$79)+(IF($A$6=Nutrients!$A$8,Nutrients!$BA$8,Nutrients!$BA$9)*M$6)+(((IF($A$7=Nutrients!$A$19,Nutrients!$BA$19,(IF($A$7=Nutrients!$A$20,Nutrients!$BA$20,Nutrients!$BA$21)))))*M$7))/2000/M$84</f>
        <v>1.8991651766036692</v>
      </c>
    </row>
    <row r="89" spans="1:13" ht="12.75">
      <c r="A89" s="12" t="s">
        <v>112</v>
      </c>
      <c r="B89" s="92">
        <f>(SUMPRODUCT(B$8:B$79,Nutrients!$BB$8:$BB$79)+(IF($A$6=Nutrients!$A$8,Nutrients!$BB$8,Nutrients!$BB$9)*B$6)+(((IF($A$7=Nutrients!$A$19,Nutrients!$BB$19,(IF($A$7=Nutrients!$A$20,Nutrients!$BB$20,Nutrients!$BB$21)))))*B$7))/2000/B$84</f>
        <v>0.27013035845138483</v>
      </c>
      <c r="C89" s="92">
        <f>(SUMPRODUCT(C$8:C$79,Nutrients!$BB$8:$BB$79)+(IF($A$6=Nutrients!$A$8,Nutrients!$BB$8,Nutrients!$BB$9)*C$6)+(((IF($A$7=Nutrients!$A$19,Nutrients!$BB$19,(IF($A$7=Nutrients!$A$20,Nutrients!$BB$20,Nutrients!$BB$21)))))*C$7))/2000/C$84</f>
        <v>0.28180720329959064</v>
      </c>
      <c r="D89" s="92">
        <f>(SUMPRODUCT(D$8:D$79,Nutrients!$BB$8:$BB$79)+(IF($A$6=Nutrients!$A$8,Nutrients!$BB$8,Nutrients!$BB$9)*D$6)+(((IF($A$7=Nutrients!$A$19,Nutrients!$BB$19,(IF($A$7=Nutrients!$A$20,Nutrients!$BB$20,Nutrients!$BB$21)))))*D$7))/2000/D$84</f>
        <v>0.29705971184200064</v>
      </c>
      <c r="E89" s="92">
        <f>(SUMPRODUCT(E$8:E$79,Nutrients!$BB$8:$BB$79)+(IF($A$6=Nutrients!$A$8,Nutrients!$BB$8,Nutrients!$BB$9)*E$6)+(((IF($A$7=Nutrients!$A$19,Nutrients!$BB$19,(IF($A$7=Nutrients!$A$20,Nutrients!$BB$20,Nutrients!$BB$21)))))*E$7))/2000/E$84</f>
        <v>0.3155543416030535</v>
      </c>
      <c r="F89" s="92">
        <f>(SUMPRODUCT(F$8:F$79,Nutrients!$BB$8:$BB$79)+(IF($A$6=Nutrients!$A$8,Nutrients!$BB$8,Nutrients!$BB$9)*F$6)+(((IF($A$7=Nutrients!$A$19,Nutrients!$BB$19,(IF($A$7=Nutrients!$A$20,Nutrients!$BB$20,Nutrients!$BB$21)))))*F$7))/2000/F$84</f>
        <v>0.3306809265472381</v>
      </c>
      <c r="G89" s="29"/>
      <c r="I89" s="92">
        <f>(SUMPRODUCT(I$8:I$79,Nutrients!$BB$8:$BB$79)+(IF($A$6=Nutrients!$A$8,Nutrients!$BB$8,Nutrients!$BB$9)*I$6)+(((IF($A$7=Nutrients!$A$19,Nutrients!$BB$19,(IF($A$7=Nutrients!$A$20,Nutrients!$BB$20,Nutrients!$BB$21)))))*I$7))/2000/I$84</f>
        <v>0.2737433058580753</v>
      </c>
      <c r="J89" s="92">
        <f>(SUMPRODUCT(J$8:J$79,Nutrients!$BB$8:$BB$79)+(IF($A$6=Nutrients!$A$8,Nutrients!$BB$8,Nutrients!$BB$9)*J$6)+(((IF($A$7=Nutrients!$A$19,Nutrients!$BB$19,(IF($A$7=Nutrients!$A$20,Nutrients!$BB$20,Nutrients!$BB$21)))))*J$7))/2000/J$84</f>
        <v>0.2852159660913819</v>
      </c>
      <c r="K89" s="92">
        <f>(SUMPRODUCT(K$8:K$79,Nutrients!$BB$8:$BB$79)+(IF($A$6=Nutrients!$A$8,Nutrients!$BB$8,Nutrients!$BB$9)*K$6)+(((IF($A$7=Nutrients!$A$19,Nutrients!$BB$19,(IF($A$7=Nutrients!$A$20,Nutrients!$BB$20,Nutrients!$BB$21)))))*K$7))/2000/K$84</f>
        <v>0.3002393397542939</v>
      </c>
      <c r="L89" s="92">
        <f>(SUMPRODUCT(L$8:L$79,Nutrients!$BB$8:$BB$79)+(IF($A$6=Nutrients!$A$8,Nutrients!$BB$8,Nutrients!$BB$9)*L$6)+(((IF($A$7=Nutrients!$A$19,Nutrients!$BB$19,(IF($A$7=Nutrients!$A$20,Nutrients!$BB$20,Nutrients!$BB$21)))))*L$7))/2000/L$84</f>
        <v>0.31919877382615164</v>
      </c>
      <c r="M89" s="92">
        <f>(SUMPRODUCT(M$8:M$79,Nutrients!$BB$8:$BB$79)+(IF($A$6=Nutrients!$A$8,Nutrients!$BB$8,Nutrients!$BB$9)*M$6)+(((IF($A$7=Nutrients!$A$19,Nutrients!$BB$19,(IF($A$7=Nutrients!$A$20,Nutrients!$BB$20,Nutrients!$BB$21)))))*M$7))/2000/M$84</f>
        <v>0.33507966683852497</v>
      </c>
    </row>
    <row r="90" spans="1:13" ht="12.75">
      <c r="A90" s="12" t="s">
        <v>113</v>
      </c>
      <c r="B90" s="92">
        <f>((SUMPRODUCT(B$8:B$79,Nutrients!$BB$8:$BB$79)+(IF($A$6=Nutrients!$A$8,Nutrients!$BB$8,Nutrients!$BB$9)*B$6)+(((IF($A$7=Nutrients!$A$19,Nutrients!$BB$19,(IF($A$7=Nutrients!$A$20,Nutrients!$BB$20,Nutrients!$BB$21)))))*B$7))+(SUMPRODUCT(B$8:B$79,Nutrients!$BC$8:$BC$79)+(IF($A$6=Nutrients!$A$8,Nutrients!$BC$8,Nutrients!$BC$9)*B$6)+(((IF($A$7=Nutrients!$A$19,Nutrients!$BC$19,(IF($A$7=Nutrients!$A$20,Nutrients!$BC$20,Nutrients!$BC$21)))))*B$7)))/2000/B$84</f>
        <v>0.5565900501107115</v>
      </c>
      <c r="C90" s="92">
        <f>((SUMPRODUCT(C$8:C$79,Nutrients!$BB$8:$BB$79)+(IF($A$6=Nutrients!$A$8,Nutrients!$BB$8,Nutrients!$BB$9)*C$6)+(((IF($A$7=Nutrients!$A$19,Nutrients!$BB$19,(IF($A$7=Nutrients!$A$20,Nutrients!$BB$20,Nutrients!$BB$21)))))*C$7))+(SUMPRODUCT(C$8:C$79,Nutrients!$BC$8:$BC$79)+(IF($A$6=Nutrients!$A$8,Nutrients!$BC$8,Nutrients!$BC$9)*C$6)+(((IF($A$7=Nutrients!$A$19,Nutrients!$BC$19,(IF($A$7=Nutrients!$A$20,Nutrients!$BC$20,Nutrients!$BC$21)))))*C$7)))/2000/C$84</f>
        <v>0.5808538309685807</v>
      </c>
      <c r="D90" s="92">
        <f>((SUMPRODUCT(D$8:D$79,Nutrients!$BB$8:$BB$79)+(IF($A$6=Nutrients!$A$8,Nutrients!$BB$8,Nutrients!$BB$9)*D$6)+(((IF($A$7=Nutrients!$A$19,Nutrients!$BB$19,(IF($A$7=Nutrients!$A$20,Nutrients!$BB$20,Nutrients!$BB$21)))))*D$7))+(SUMPRODUCT(D$8:D$79,Nutrients!$BC$8:$BC$79)+(IF($A$6=Nutrients!$A$8,Nutrients!$BC$8,Nutrients!$BC$9)*D$6)+(((IF($A$7=Nutrients!$A$19,Nutrients!$BC$19,(IF($A$7=Nutrients!$A$20,Nutrients!$BC$20,Nutrients!$BC$21)))))*D$7)))/2000/D$84</f>
        <v>0.6125472722348124</v>
      </c>
      <c r="E90" s="92">
        <f>((SUMPRODUCT(E$8:E$79,Nutrients!$BB$8:$BB$79)+(IF($A$6=Nutrients!$A$8,Nutrients!$BB$8,Nutrients!$BB$9)*E$6)+(((IF($A$7=Nutrients!$A$19,Nutrients!$BB$19,(IF($A$7=Nutrients!$A$20,Nutrients!$BB$20,Nutrients!$BB$21)))))*E$7))+(SUMPRODUCT(E$8:E$79,Nutrients!$BC$8:$BC$79)+(IF($A$6=Nutrients!$A$8,Nutrients!$BC$8,Nutrients!$BC$9)*E$6)+(((IF($A$7=Nutrients!$A$19,Nutrients!$BC$19,(IF($A$7=Nutrients!$A$20,Nutrients!$BC$20,Nutrients!$BC$21)))))*E$7)))/2000/E$84</f>
        <v>0.6509782850702514</v>
      </c>
      <c r="F90" s="92">
        <f>((SUMPRODUCT(F$8:F$79,Nutrients!$BB$8:$BB$79)+(IF($A$6=Nutrients!$A$8,Nutrients!$BB$8,Nutrients!$BB$9)*F$6)+(((IF($A$7=Nutrients!$A$19,Nutrients!$BB$19,(IF($A$7=Nutrients!$A$20,Nutrients!$BB$20,Nutrients!$BB$21)))))*F$7))+(SUMPRODUCT(F$8:F$79,Nutrients!$BC$8:$BC$79)+(IF($A$6=Nutrients!$A$8,Nutrients!$BC$8,Nutrients!$BC$9)*F$6)+(((IF($A$7=Nutrients!$A$19,Nutrients!$BC$19,(IF($A$7=Nutrients!$A$20,Nutrients!$BC$20,Nutrients!$BC$21)))))*F$7)))/2000/F$84</f>
        <v>0.6824109427583521</v>
      </c>
      <c r="G90" s="29"/>
      <c r="I90" s="92">
        <f>((SUMPRODUCT(I$8:I$79,Nutrients!$BB$8:$BB$79)+(IF($A$6=Nutrients!$A$8,Nutrients!$BB$8,Nutrients!$BB$9)*I$6)+(((IF($A$7=Nutrients!$A$19,Nutrients!$BB$19,(IF($A$7=Nutrients!$A$20,Nutrients!$BB$20,Nutrients!$BB$21)))))*I$7))+(SUMPRODUCT(I$8:I$79,Nutrients!$BC$8:$BC$79)+(IF($A$6=Nutrients!$A$8,Nutrients!$BC$8,Nutrients!$BC$9)*I$6)+(((IF($A$7=Nutrients!$A$19,Nutrients!$BC$19,(IF($A$7=Nutrients!$A$20,Nutrients!$BC$20,Nutrients!$BC$21)))))*I$7)))/2000/I$84</f>
        <v>0.5559187923005056</v>
      </c>
      <c r="J90" s="92">
        <f>((SUMPRODUCT(J$8:J$79,Nutrients!$BB$8:$BB$79)+(IF($A$6=Nutrients!$A$8,Nutrients!$BB$8,Nutrients!$BB$9)*J$6)+(((IF($A$7=Nutrients!$A$19,Nutrients!$BB$19,(IF($A$7=Nutrients!$A$20,Nutrients!$BB$20,Nutrients!$BB$21)))))*J$7))+(SUMPRODUCT(J$8:J$79,Nutrients!$BC$8:$BC$79)+(IF($A$6=Nutrients!$A$8,Nutrients!$BC$8,Nutrients!$BC$9)*J$6)+(((IF($A$7=Nutrients!$A$19,Nutrients!$BC$19,(IF($A$7=Nutrients!$A$20,Nutrients!$BC$20,Nutrients!$BC$21)))))*J$7)))/2000/J$84</f>
        <v>0.5802323943467199</v>
      </c>
      <c r="K90" s="92">
        <f>((SUMPRODUCT(K$8:K$79,Nutrients!$BB$8:$BB$79)+(IF($A$6=Nutrients!$A$8,Nutrients!$BB$8,Nutrients!$BB$9)*K$6)+(((IF($A$7=Nutrients!$A$19,Nutrients!$BB$19,(IF($A$7=Nutrients!$A$20,Nutrients!$BB$20,Nutrients!$BB$21)))))*K$7))+(SUMPRODUCT(K$8:K$79,Nutrients!$BC$8:$BC$79)+(IF($A$6=Nutrients!$A$8,Nutrients!$BC$8,Nutrients!$BC$9)*K$6)+(((IF($A$7=Nutrients!$A$19,Nutrients!$BC$19,(IF($A$7=Nutrients!$A$20,Nutrients!$BC$20,Nutrients!$BC$21)))))*K$7)))/2000/K$84</f>
        <v>0.6120658662333015</v>
      </c>
      <c r="L90" s="92">
        <f>((SUMPRODUCT(L$8:L$79,Nutrients!$BB$8:$BB$79)+(IF($A$6=Nutrients!$A$8,Nutrients!$BB$8,Nutrients!$BB$9)*L$6)+(((IF($A$7=Nutrients!$A$19,Nutrients!$BB$19,(IF($A$7=Nutrients!$A$20,Nutrients!$BB$20,Nutrients!$BB$21)))))*L$7))+(SUMPRODUCT(L$8:L$79,Nutrients!$BC$8:$BC$79)+(IF($A$6=Nutrients!$A$8,Nutrients!$BC$8,Nutrients!$BC$9)*L$6)+(((IF($A$7=Nutrients!$A$19,Nutrients!$BC$19,(IF($A$7=Nutrients!$A$20,Nutrients!$BC$20,Nutrients!$BC$21)))))*L$7)))/2000/L$84</f>
        <v>0.6503328716476292</v>
      </c>
      <c r="M90" s="92">
        <f>((SUMPRODUCT(M$8:M$79,Nutrients!$BB$8:$BB$79)+(IF($A$6=Nutrients!$A$8,Nutrients!$BB$8,Nutrients!$BB$9)*M$6)+(((IF($A$7=Nutrients!$A$19,Nutrients!$BB$19,(IF($A$7=Nutrients!$A$20,Nutrients!$BB$20,Nutrients!$BB$21)))))*M$7))+(SUMPRODUCT(M$8:M$79,Nutrients!$BC$8:$BC$79)+(IF($A$6=Nutrients!$A$8,Nutrients!$BC$8,Nutrients!$BC$9)*M$6)+(((IF($A$7=Nutrients!$A$19,Nutrients!$BC$19,(IF($A$7=Nutrients!$A$20,Nutrients!$BC$20,Nutrients!$BC$21)))))*M$7)))/2000/M$84</f>
        <v>0.6817189076351267</v>
      </c>
    </row>
    <row r="91" spans="1:13" ht="12.75">
      <c r="A91" s="12" t="s">
        <v>114</v>
      </c>
      <c r="B91" s="92">
        <f>(SUMPRODUCT(B$8:B$79,Nutrients!$BD$8:$BD$79)+(IF($A$6=Nutrients!$A$8,Nutrients!$BD$8,Nutrients!$BD$9)*B$6)+(((IF($A$7=Nutrients!$A$19,Nutrients!$BD$19,(IF($A$7=Nutrients!$A$20,Nutrients!$BD$20,Nutrients!$BD$21)))))*B$7))/2000/B$84</f>
        <v>0.6030335149215844</v>
      </c>
      <c r="C91" s="92">
        <f>(SUMPRODUCT(C$8:C$79,Nutrients!$BD$8:$BD$79)+(IF($A$6=Nutrients!$A$8,Nutrients!$BD$8,Nutrients!$BD$9)*C$6)+(((IF($A$7=Nutrients!$A$19,Nutrients!$BD$19,(IF($A$7=Nutrients!$A$20,Nutrients!$BD$20,Nutrients!$BD$21)))))*C$7))/2000/C$84</f>
        <v>0.6106938623603274</v>
      </c>
      <c r="D91" s="92">
        <f>(SUMPRODUCT(D$8:D$79,Nutrients!$BD$8:$BD$79)+(IF($A$6=Nutrients!$A$8,Nutrients!$BD$8,Nutrients!$BD$9)*D$6)+(((IF($A$7=Nutrients!$A$19,Nutrients!$BD$19,(IF($A$7=Nutrients!$A$20,Nutrients!$BD$20,Nutrients!$BD$21)))))*D$7))/2000/D$84</f>
        <v>0.6207318141201495</v>
      </c>
      <c r="E91" s="92">
        <f>(SUMPRODUCT(E$8:E$79,Nutrients!$BD$8:$BD$79)+(IF($A$6=Nutrients!$A$8,Nutrients!$BD$8,Nutrients!$BD$9)*E$6)+(((IF($A$7=Nutrients!$A$19,Nutrients!$BD$19,(IF($A$7=Nutrients!$A$20,Nutrients!$BD$20,Nutrients!$BD$21)))))*E$7))/2000/E$84</f>
        <v>0.6328391172972675</v>
      </c>
      <c r="F91" s="92">
        <f>(SUMPRODUCT(F$8:F$79,Nutrients!$BD$8:$BD$79)+(IF($A$6=Nutrients!$A$8,Nutrients!$BD$8,Nutrients!$BD$9)*F$6)+(((IF($A$7=Nutrients!$A$19,Nutrients!$BD$19,(IF($A$7=Nutrients!$A$20,Nutrients!$BD$20,Nutrients!$BD$21)))))*F$7))/2000/F$84</f>
        <v>0.6427153192460808</v>
      </c>
      <c r="G91" s="29"/>
      <c r="I91" s="92">
        <f>(SUMPRODUCT(I$8:I$79,Nutrients!$BD$8:$BD$79)+(IF($A$6=Nutrients!$A$8,Nutrients!$BD$8,Nutrients!$BD$9)*I$6)+(((IF($A$7=Nutrients!$A$19,Nutrients!$BD$19,(IF($A$7=Nutrients!$A$20,Nutrients!$BD$20,Nutrients!$BD$21)))))*I$7))/2000/I$84</f>
        <v>0.6057822252053671</v>
      </c>
      <c r="J91" s="92">
        <f>(SUMPRODUCT(J$8:J$79,Nutrients!$BD$8:$BD$79)+(IF($A$6=Nutrients!$A$8,Nutrients!$BD$8,Nutrients!$BD$9)*J$6)+(((IF($A$7=Nutrients!$A$19,Nutrients!$BD$19,(IF($A$7=Nutrients!$A$20,Nutrients!$BD$20,Nutrients!$BD$21)))))*J$7))/2000/J$84</f>
        <v>0.6132889879964601</v>
      </c>
      <c r="K91" s="92">
        <f>(SUMPRODUCT(K$8:K$79,Nutrients!$BD$8:$BD$79)+(IF($A$6=Nutrients!$A$8,Nutrients!$BD$8,Nutrients!$BD$9)*K$6)+(((IF($A$7=Nutrients!$A$19,Nutrients!$BD$19,(IF($A$7=Nutrients!$A$20,Nutrients!$BD$20,Nutrients!$BD$21)))))*K$7))/2000/K$84</f>
        <v>0.6231670297590649</v>
      </c>
      <c r="L91" s="92">
        <f>(SUMPRODUCT(L$8:L$79,Nutrients!$BD$8:$BD$79)+(IF($A$6=Nutrients!$A$8,Nutrients!$BD$8,Nutrients!$BD$9)*L$6)+(((IF($A$7=Nutrients!$A$19,Nutrients!$BD$19,(IF($A$7=Nutrients!$A$20,Nutrients!$BD$20,Nutrients!$BD$21)))))*L$7))/2000/L$84</f>
        <v>0.6356164687108182</v>
      </c>
      <c r="M91" s="92">
        <f>(SUMPRODUCT(M$8:M$79,Nutrients!$BD$8:$BD$79)+(IF($A$6=Nutrients!$A$8,Nutrients!$BD$8,Nutrients!$BD$9)*M$6)+(((IF($A$7=Nutrients!$A$19,Nutrients!$BD$19,(IF($A$7=Nutrients!$A$20,Nutrients!$BD$20,Nutrients!$BD$21)))))*M$7))/2000/M$84</f>
        <v>0.6460803764082121</v>
      </c>
    </row>
    <row r="92" spans="1:13" ht="12.75">
      <c r="A92" s="12" t="s">
        <v>115</v>
      </c>
      <c r="B92" s="92">
        <f>(SUMPRODUCT(B$8:B$79,Nutrients!$BE$8:$BE$79)+(IF($A$6=Nutrients!$A$8,Nutrients!$BE$8,Nutrients!$BE$9)*B$6)+(((IF($A$7=Nutrients!$A$19,Nutrients!$BE$19,(IF($A$7=Nutrients!$A$20,Nutrients!$BE$20,Nutrients!$BE$21)))))*B$7))/2000/B$84</f>
        <v>0.19530555315986503</v>
      </c>
      <c r="C92" s="92">
        <f>(SUMPRODUCT(C$8:C$79,Nutrients!$BE$8:$BE$79)+(IF($A$6=Nutrients!$A$8,Nutrients!$BE$8,Nutrients!$BE$9)*C$6)+(((IF($A$7=Nutrients!$A$19,Nutrients!$BE$19,(IF($A$7=Nutrients!$A$20,Nutrients!$BE$20,Nutrients!$BE$21)))))*C$7))/2000/C$84</f>
        <v>0.1930645058911384</v>
      </c>
      <c r="D92" s="92">
        <f>(SUMPRODUCT(D$8:D$79,Nutrients!$BE$8:$BE$79)+(IF($A$6=Nutrients!$A$8,Nutrients!$BE$8,Nutrients!$BE$9)*D$6)+(((IF($A$7=Nutrients!$A$19,Nutrients!$BE$19,(IF($A$7=Nutrients!$A$20,Nutrients!$BE$20,Nutrients!$BE$21)))))*D$7))/2000/D$84</f>
        <v>0.19015570401956108</v>
      </c>
      <c r="E92" s="92">
        <f>(SUMPRODUCT(E$8:E$79,Nutrients!$BE$8:$BE$79)+(IF($A$6=Nutrients!$A$8,Nutrients!$BE$8,Nutrients!$BE$9)*E$6)+(((IF($A$7=Nutrients!$A$19,Nutrients!$BE$19,(IF($A$7=Nutrients!$A$20,Nutrients!$BE$20,Nutrients!$BE$21)))))*E$7))/2000/E$84</f>
        <v>0.18659125041486893</v>
      </c>
      <c r="F92" s="92">
        <f>(SUMPRODUCT(F$8:F$79,Nutrients!$BE$8:$BE$79)+(IF($A$6=Nutrients!$A$8,Nutrients!$BE$8,Nutrients!$BE$9)*F$6)+(((IF($A$7=Nutrients!$A$19,Nutrients!$BE$19,(IF($A$7=Nutrients!$A$20,Nutrients!$BE$20,Nutrients!$BE$21)))))*F$7))/2000/F$84</f>
        <v>0.18366068240581152</v>
      </c>
      <c r="G92" s="29"/>
      <c r="I92" s="92">
        <f>(SUMPRODUCT(I$8:I$79,Nutrients!$BE$8:$BE$79)+(IF($A$6=Nutrients!$A$8,Nutrients!$BE$8,Nutrients!$BE$9)*I$6)+(((IF($A$7=Nutrients!$A$19,Nutrients!$BE$19,(IF($A$7=Nutrients!$A$20,Nutrients!$BE$20,Nutrients!$BE$21)))))*I$7))/2000/I$84</f>
        <v>0.18915910215887416</v>
      </c>
      <c r="J92" s="92">
        <f>(SUMPRODUCT(J$8:J$79,Nutrients!$BE$8:$BE$79)+(IF($A$6=Nutrients!$A$8,Nutrients!$BE$8,Nutrients!$BE$9)*J$6)+(((IF($A$7=Nutrients!$A$19,Nutrients!$BE$19,(IF($A$7=Nutrients!$A$20,Nutrients!$BE$20,Nutrients!$BE$21)))))*J$7))/2000/J$84</f>
        <v>0.18727470129439108</v>
      </c>
      <c r="K92" s="92">
        <f>(SUMPRODUCT(K$8:K$79,Nutrients!$BE$8:$BE$79)+(IF($A$6=Nutrients!$A$8,Nutrients!$BE$8,Nutrients!$BE$9)*K$6)+(((IF($A$7=Nutrients!$A$19,Nutrients!$BE$19,(IF($A$7=Nutrients!$A$20,Nutrients!$BE$20,Nutrients!$BE$21)))))*K$7))/2000/K$84</f>
        <v>0.18483181953721375</v>
      </c>
      <c r="L92" s="92">
        <f>(SUMPRODUCT(L$8:L$79,Nutrients!$BE$8:$BE$79)+(IF($A$6=Nutrients!$A$8,Nutrients!$BE$8,Nutrients!$BE$9)*L$6)+(((IF($A$7=Nutrients!$A$19,Nutrients!$BE$19,(IF($A$7=Nutrients!$A$20,Nutrients!$BE$20,Nutrients!$BE$21)))))*L$7))/2000/L$84</f>
        <v>0.1804159874917028</v>
      </c>
      <c r="M92" s="92">
        <f>(SUMPRODUCT(M$8:M$79,Nutrients!$BE$8:$BE$79)+(IF($A$6=Nutrients!$A$8,Nutrients!$BE$8,Nutrients!$BE$9)*M$6)+(((IF($A$7=Nutrients!$A$19,Nutrients!$BE$19,(IF($A$7=Nutrients!$A$20,Nutrients!$BE$20,Nutrients!$BE$21)))))*M$7))/2000/M$84</f>
        <v>0.17627520399839938</v>
      </c>
    </row>
    <row r="93" spans="1:13" ht="12.75">
      <c r="A93" s="12" t="s">
        <v>117</v>
      </c>
      <c r="B93" s="92">
        <f>(SUMPRODUCT(B$8:B$79,Nutrients!$BF$8:$BF$79)+(IF($A$6=Nutrients!$A$8,Nutrients!$BF$8,Nutrients!$BF$9)*B$6)+(((IF($A$7=Nutrients!$A$19,Nutrients!$BF$19,(IF($A$7=Nutrients!$A$20,Nutrients!$BF$20,Nutrients!$BF$21)))))*B$7))/2000/B$84</f>
        <v>0.7772187323748533</v>
      </c>
      <c r="C93" s="92">
        <f>(SUMPRODUCT(C$8:C$79,Nutrients!$BF$8:$BF$79)+(IF($A$6=Nutrients!$A$8,Nutrients!$BF$8,Nutrients!$BF$9)*C$6)+(((IF($A$7=Nutrients!$A$19,Nutrients!$BF$19,(IF($A$7=Nutrients!$A$20,Nutrients!$BF$20,Nutrients!$BF$21)))))*C$7))/2000/C$84</f>
        <v>0.7929128459591768</v>
      </c>
      <c r="D93" s="92">
        <f>(SUMPRODUCT(D$8:D$79,Nutrients!$BF$8:$BF$79)+(IF($A$6=Nutrients!$A$8,Nutrients!$BF$8,Nutrients!$BF$9)*D$6)+(((IF($A$7=Nutrients!$A$19,Nutrients!$BF$19,(IF($A$7=Nutrients!$A$20,Nutrients!$BF$20,Nutrients!$BF$21)))))*D$7))/2000/D$84</f>
        <v>0.8134437770932729</v>
      </c>
      <c r="E93" s="92">
        <f>(SUMPRODUCT(E$8:E$79,Nutrients!$BF$8:$BF$79)+(IF($A$6=Nutrients!$A$8,Nutrients!$BF$8,Nutrients!$BF$9)*E$6)+(((IF($A$7=Nutrients!$A$19,Nutrients!$BF$19,(IF($A$7=Nutrients!$A$20,Nutrients!$BF$20,Nutrients!$BF$21)))))*E$7))/2000/E$84</f>
        <v>0.8382762433620976</v>
      </c>
      <c r="F93" s="92">
        <f>(SUMPRODUCT(F$8:F$79,Nutrients!$BF$8:$BF$79)+(IF($A$6=Nutrients!$A$8,Nutrients!$BF$8,Nutrients!$BF$9)*F$6)+(((IF($A$7=Nutrients!$A$19,Nutrients!$BF$19,(IF($A$7=Nutrients!$A$20,Nutrients!$BF$20,Nutrients!$BF$21)))))*F$7))/2000/F$84</f>
        <v>0.8585609565070184</v>
      </c>
      <c r="G93" s="29"/>
      <c r="I93" s="92">
        <f>(SUMPRODUCT(I$8:I$79,Nutrients!$BF$8:$BF$79)+(IF($A$6=Nutrients!$A$8,Nutrients!$BF$8,Nutrients!$BF$9)*I$6)+(((IF($A$7=Nutrients!$A$19,Nutrients!$BF$19,(IF($A$7=Nutrients!$A$20,Nutrients!$BF$20,Nutrients!$BF$21)))))*I$7))/2000/I$84</f>
        <v>0.7817503321046502</v>
      </c>
      <c r="J93" s="92">
        <f>(SUMPRODUCT(J$8:J$79,Nutrients!$BF$8:$BF$79)+(IF($A$6=Nutrients!$A$8,Nutrients!$BF$8,Nutrients!$BF$9)*J$6)+(((IF($A$7=Nutrients!$A$19,Nutrients!$BF$19,(IF($A$7=Nutrients!$A$20,Nutrients!$BF$20,Nutrients!$BF$21)))))*J$7))/2000/J$84</f>
        <v>0.7971910618984404</v>
      </c>
      <c r="K93" s="92">
        <f>(SUMPRODUCT(K$8:K$79,Nutrients!$BF$8:$BF$79)+(IF($A$6=Nutrients!$A$8,Nutrients!$BF$8,Nutrients!$BF$9)*K$6)+(((IF($A$7=Nutrients!$A$19,Nutrients!$BF$19,(IF($A$7=Nutrients!$A$20,Nutrients!$BF$20,Nutrients!$BF$21)))))*K$7))/2000/K$84</f>
        <v>0.8174568858420801</v>
      </c>
      <c r="L93" s="92">
        <f>(SUMPRODUCT(L$8:L$79,Nutrients!$BF$8:$BF$79)+(IF($A$6=Nutrients!$A$8,Nutrients!$BF$8,Nutrients!$BF$9)*L$6)+(((IF($A$7=Nutrients!$A$19,Nutrients!$BF$19,(IF($A$7=Nutrients!$A$20,Nutrients!$BF$20,Nutrients!$BF$21)))))*L$7))/2000/L$84</f>
        <v>0.8428545819262367</v>
      </c>
      <c r="M93" s="92">
        <f>(SUMPRODUCT(M$8:M$79,Nutrients!$BF$8:$BF$79)+(IF($A$6=Nutrients!$A$8,Nutrients!$BF$8,Nutrients!$BF$9)*M$6)+(((IF($A$7=Nutrients!$A$19,Nutrients!$BF$19,(IF($A$7=Nutrients!$A$20,Nutrients!$BF$20,Nutrients!$BF$21)))))*M$7))/2000/M$84</f>
        <v>0.8641067874368995</v>
      </c>
    </row>
    <row r="94" spans="1:13" ht="12.75">
      <c r="A94" s="6" t="s">
        <v>38</v>
      </c>
      <c r="B94" s="93">
        <f>(SUMPRODUCT(B$8:B$79,Nutrients!$M$8:$M$79)+(IF($A$6=Nutrients!$A$8,Nutrients!$M$8,Nutrients!$M$9)*B$6)+(((IF($A$7=Nutrients!$A$19,Nutrients!$M$19,(IF($A$7=Nutrients!$A$20,Nutrients!$M$20,Nutrients!$M$21)))))*B$7))/2000/2.2046</f>
        <v>1513.3523411261995</v>
      </c>
      <c r="C94" s="93">
        <f>(SUMPRODUCT(C$8:C$79,Nutrients!$M$8:$M$79)+(IF($A$6=Nutrients!$A$8,Nutrients!$M$8,Nutrients!$M$9)*C$6)+(((IF($A$7=Nutrients!$A$19,Nutrients!$M$19,(IF($A$7=Nutrients!$A$20,Nutrients!$M$20,Nutrients!$M$21)))))*C$7))/2000/2.2046</f>
        <v>1515.77074906297</v>
      </c>
      <c r="D94" s="93">
        <f>(SUMPRODUCT(D$8:D$79,Nutrients!$M$8:$M$79)+(IF($A$6=Nutrients!$A$8,Nutrients!$M$8,Nutrients!$M$9)*D$6)+(((IF($A$7=Nutrients!$A$19,Nutrients!$M$19,(IF($A$7=Nutrients!$A$20,Nutrients!$M$20,Nutrients!$M$21)))))*D$7))/2000/2.2046</f>
        <v>1518.9655393799546</v>
      </c>
      <c r="E94" s="93">
        <f>(SUMPRODUCT(E$8:E$79,Nutrients!$M$8:$M$79)+(IF($A$6=Nutrients!$A$8,Nutrients!$M$8,Nutrients!$M$9)*E$6)+(((IF($A$7=Nutrients!$A$19,Nutrients!$M$19,(IF($A$7=Nutrients!$A$20,Nutrients!$M$20,Nutrients!$M$21)))))*E$7))/2000/2.2046</f>
        <v>1520.5354280051495</v>
      </c>
      <c r="F94" s="93">
        <f>(SUMPRODUCT(F$8:F$79,Nutrients!$M$8:$M$79)+(IF($A$6=Nutrients!$A$8,Nutrients!$M$8,Nutrients!$M$9)*F$6)+(((IF($A$7=Nutrients!$A$19,Nutrients!$M$19,(IF($A$7=Nutrients!$A$20,Nutrients!$M$20,Nutrients!$M$21)))))*F$7))/2000/2.2046</f>
        <v>1521.0403865246824</v>
      </c>
      <c r="G94" s="29"/>
      <c r="I94" s="93">
        <f>(SUMPRODUCT(I$8:I$79,Nutrients!$M$8:$M$79)+(IF($A$6=Nutrients!$A$8,Nutrients!$M$8,Nutrients!$M$9)*I$6)+(((IF($A$7=Nutrients!$A$19,Nutrients!$M$19,(IF($A$7=Nutrients!$A$20,Nutrients!$M$20,Nutrients!$M$21)))))*I$7))/2000/2.2046</f>
        <v>1514.1737737414182</v>
      </c>
      <c r="J94" s="93">
        <f>(SUMPRODUCT(J$8:J$79,Nutrients!$M$8:$M$79)+(IF($A$6=Nutrients!$A$8,Nutrients!$M$8,Nutrients!$M$9)*J$6)+(((IF($A$7=Nutrients!$A$19,Nutrients!$M$19,(IF($A$7=Nutrients!$A$20,Nutrients!$M$20,Nutrients!$M$21)))))*J$7))/2000/2.2046</f>
        <v>1516.5199747740035</v>
      </c>
      <c r="K94" s="93">
        <f>(SUMPRODUCT(K$8:K$79,Nutrients!$M$8:$M$79)+(IF($A$6=Nutrients!$A$8,Nutrients!$M$8,Nutrients!$M$9)*K$6)+(((IF($A$7=Nutrients!$A$19,Nutrients!$M$19,(IF($A$7=Nutrients!$A$20,Nutrients!$M$20,Nutrients!$M$21)))))*K$7))/2000/2.2046</f>
        <v>1520.03074937691</v>
      </c>
      <c r="L94" s="93">
        <f>(SUMPRODUCT(L$8:L$79,Nutrients!$M$8:$M$79)+(IF($A$6=Nutrients!$A$8,Nutrients!$M$8,Nutrients!$M$9)*L$6)+(((IF($A$7=Nutrients!$A$19,Nutrients!$M$19,(IF($A$7=Nutrients!$A$20,Nutrients!$M$20,Nutrients!$M$21)))))*L$7))/2000/2.2046</f>
        <v>1521.2124468119973</v>
      </c>
      <c r="M94" s="93">
        <f>(SUMPRODUCT(M$8:M$79,Nutrients!$M$8:$M$79)+(IF($A$6=Nutrients!$A$8,Nutrients!$M$8,Nutrients!$M$9)*M$6)+(((IF($A$7=Nutrients!$A$19,Nutrients!$M$19,(IF($A$7=Nutrients!$A$20,Nutrients!$M$20,Nutrients!$M$21)))))*M$7))/2000/2.2046</f>
        <v>1522.088439473883</v>
      </c>
    </row>
    <row r="95" spans="1:13" ht="12.75">
      <c r="A95" s="12" t="s">
        <v>68</v>
      </c>
      <c r="B95" s="93">
        <f>(SUMPRODUCT(B$8:B$79,Nutrients!$N$8:$N$79)+(IF($A$6=Nutrients!$A$8,Nutrients!$N$8,Nutrients!$N$9)*B$6)+(((IF($A$7=Nutrients!$A$19,Nutrients!$N$19,(IF($A$7=Nutrients!$A$20,Nutrients!$N$20,Nutrients!$N$21)))))*B$7))/2000/2.2046</f>
        <v>1091.820186319883</v>
      </c>
      <c r="C95" s="93">
        <f>(SUMPRODUCT(C$8:C$79,Nutrients!$N$8:$N$79)+(IF($A$6=Nutrients!$A$8,Nutrients!$N$8,Nutrients!$N$9)*C$6)+(((IF($A$7=Nutrients!$A$19,Nutrients!$N$19,(IF($A$7=Nutrients!$A$20,Nutrients!$N$20,Nutrients!$N$21)))))*C$7))/2000/2.2046</f>
        <v>1107.1126927758498</v>
      </c>
      <c r="D95" s="93">
        <f>(SUMPRODUCT(D$8:D$79,Nutrients!$N$8:$N$79)+(IF($A$6=Nutrients!$A$8,Nutrients!$N$8,Nutrients!$N$9)*D$6)+(((IF($A$7=Nutrients!$A$19,Nutrients!$N$19,(IF($A$7=Nutrients!$A$20,Nutrients!$N$20,Nutrients!$N$21)))))*D$7))/2000/2.2046</f>
        <v>1123.0181016520164</v>
      </c>
      <c r="E95" s="93">
        <f>(SUMPRODUCT(E$8:E$79,Nutrients!$N$8:$N$79)+(IF($A$6=Nutrients!$A$8,Nutrients!$N$8,Nutrients!$N$9)*E$6)+(((IF($A$7=Nutrients!$A$19,Nutrients!$N$19,(IF($A$7=Nutrients!$A$20,Nutrients!$N$20,Nutrients!$N$21)))))*E$7))/2000/2.2046</f>
        <v>1136.5254805531529</v>
      </c>
      <c r="F95" s="93">
        <f>(SUMPRODUCT(F$8:F$79,Nutrients!$N$8:$N$79)+(IF($A$6=Nutrients!$A$8,Nutrients!$N$8,Nutrients!$N$9)*F$6)+(((IF($A$7=Nutrients!$A$19,Nutrients!$N$19,(IF($A$7=Nutrients!$A$20,Nutrients!$N$20,Nutrients!$N$21)))))*F$7))/2000/2.2046</f>
        <v>1144.731056495567</v>
      </c>
      <c r="G95" s="29"/>
      <c r="I95" s="93">
        <f>(SUMPRODUCT(I$8:I$79,Nutrients!$N$8:$N$79)+(IF($A$6=Nutrients!$A$8,Nutrients!$N$8,Nutrients!$N$9)*I$6)+(((IF($A$7=Nutrients!$A$19,Nutrients!$N$19,(IF($A$7=Nutrients!$A$20,Nutrients!$N$20,Nutrients!$N$21)))))*I$7))/2000/2.2046</f>
        <v>1098.74564187197</v>
      </c>
      <c r="J95" s="93">
        <f>(SUMPRODUCT(J$8:J$79,Nutrients!$N$8:$N$79)+(IF($A$6=Nutrients!$A$8,Nutrients!$N$8,Nutrients!$N$9)*J$6)+(((IF($A$7=Nutrients!$A$19,Nutrients!$N$19,(IF($A$7=Nutrients!$A$20,Nutrients!$N$20,Nutrients!$N$21)))))*J$7))/2000/2.2046</f>
        <v>1112.9349809376056</v>
      </c>
      <c r="K95" s="93">
        <f>(SUMPRODUCT(K$8:K$79,Nutrients!$N$8:$N$79)+(IF($A$6=Nutrients!$A$8,Nutrients!$N$8,Nutrients!$N$9)*K$6)+(((IF($A$7=Nutrients!$A$19,Nutrients!$N$19,(IF($A$7=Nutrients!$A$20,Nutrients!$N$20,Nutrients!$N$21)))))*K$7))/2000/2.2046</f>
        <v>1128.0436736335412</v>
      </c>
      <c r="L95" s="93">
        <f>(SUMPRODUCT(L$8:L$79,Nutrients!$N$8:$N$79)+(IF($A$6=Nutrients!$A$8,Nutrients!$N$8,Nutrients!$N$9)*L$6)+(((IF($A$7=Nutrients!$A$19,Nutrients!$N$19,(IF($A$7=Nutrients!$A$20,Nutrients!$N$20,Nutrients!$N$21)))))*L$7))/2000/2.2046</f>
        <v>1141.2446013245776</v>
      </c>
      <c r="M95" s="93">
        <f>(SUMPRODUCT(M$8:M$79,Nutrients!$N$8:$N$79)+(IF($A$6=Nutrients!$A$8,Nutrients!$N$8,Nutrients!$N$9)*M$6)+(((IF($A$7=Nutrients!$A$19,Nutrients!$N$19,(IF($A$7=Nutrients!$A$20,Nutrients!$N$20,Nutrients!$N$21)))))*M$7))/2000/2.2046</f>
        <v>1150.0569335731811</v>
      </c>
    </row>
    <row r="96" spans="1:13" ht="12.75">
      <c r="A96" s="12" t="s">
        <v>67</v>
      </c>
      <c r="B96" s="93">
        <f>(SUMPRODUCT(B$8:B$79,Nutrients!$O$8:$O$79)+(IF($A$6=Nutrients!$A$8,Nutrients!$O$8,Nutrients!$O$9)*B$6)+(((IF($A$7=Nutrients!$A$19,Nutrients!$O$19,(IF($A$7=Nutrients!$A$20,Nutrients!$O$20,Nutrients!$O$21)))))*B$7))/2000/2.2046</f>
        <v>1132.4957867703868</v>
      </c>
      <c r="C96" s="93">
        <f>(SUMPRODUCT(C$8:C$79,Nutrients!$O$8:$O$79)+(IF($A$6=Nutrients!$A$8,Nutrients!$O$8,Nutrients!$O$9)*C$6)+(((IF($A$7=Nutrients!$A$19,Nutrients!$O$19,(IF($A$7=Nutrients!$A$20,Nutrients!$O$20,Nutrients!$O$21)))))*C$7))/2000/2.2046</f>
        <v>1146.9574748749951</v>
      </c>
      <c r="D96" s="93">
        <f>(SUMPRODUCT(D$8:D$79,Nutrients!$O$8:$O$79)+(IF($A$6=Nutrients!$A$8,Nutrients!$O$8,Nutrients!$O$9)*D$6)+(((IF($A$7=Nutrients!$A$19,Nutrients!$O$19,(IF($A$7=Nutrients!$A$20,Nutrients!$O$20,Nutrients!$O$21)))))*D$7))/2000/2.2046</f>
        <v>1162.0494778122957</v>
      </c>
      <c r="E96" s="93">
        <f>(SUMPRODUCT(E$8:E$79,Nutrients!$O$8:$O$79)+(IF($A$6=Nutrients!$A$8,Nutrients!$O$8,Nutrients!$O$9)*E$6)+(((IF($A$7=Nutrients!$A$19,Nutrients!$O$19,(IF($A$7=Nutrients!$A$20,Nutrients!$O$20,Nutrients!$O$21)))))*E$7))/2000/2.2046</f>
        <v>1174.7807628809435</v>
      </c>
      <c r="F96" s="93">
        <f>(SUMPRODUCT(F$8:F$79,Nutrients!$O$8:$O$79)+(IF($A$6=Nutrients!$A$8,Nutrients!$O$8,Nutrients!$O$9)*F$6)+(((IF($A$7=Nutrients!$A$19,Nutrients!$O$19,(IF($A$7=Nutrients!$A$20,Nutrients!$O$20,Nutrients!$O$21)))))*F$7))/2000/2.2046</f>
        <v>1182.4813803038246</v>
      </c>
      <c r="G96" s="29"/>
      <c r="I96" s="93">
        <f>(SUMPRODUCT(I$8:I$79,Nutrients!$O$8:$O$79)+(IF($A$6=Nutrients!$A$8,Nutrients!$O$8,Nutrients!$O$9)*I$6)+(((IF($A$7=Nutrients!$A$19,Nutrients!$O$19,(IF($A$7=Nutrients!$A$20,Nutrients!$O$20,Nutrients!$O$21)))))*I$7))/2000/2.2046</f>
        <v>1137.6080237923181</v>
      </c>
      <c r="J96" s="93">
        <f>(SUMPRODUCT(J$8:J$79,Nutrients!$O$8:$O$79)+(IF($A$6=Nutrients!$A$8,Nutrients!$O$8,Nutrients!$O$9)*J$6)+(((IF($A$7=Nutrients!$A$19,Nutrients!$O$19,(IF($A$7=Nutrients!$A$20,Nutrients!$O$20,Nutrients!$O$21)))))*J$7))/2000/2.2046</f>
        <v>1151.270198629329</v>
      </c>
      <c r="K96" s="93">
        <f>(SUMPRODUCT(K$8:K$79,Nutrients!$O$8:$O$79)+(IF($A$6=Nutrients!$A$8,Nutrients!$O$8,Nutrients!$O$9)*K$6)+(((IF($A$7=Nutrients!$A$19,Nutrients!$O$19,(IF($A$7=Nutrients!$A$20,Nutrients!$O$20,Nutrients!$O$21)))))*K$7))/2000/2.2046</f>
        <v>1165.877845715378</v>
      </c>
      <c r="L96" s="93">
        <f>(SUMPRODUCT(L$8:L$79,Nutrients!$O$8:$O$79)+(IF($A$6=Nutrients!$A$8,Nutrients!$O$8,Nutrients!$O$9)*L$6)+(((IF($A$7=Nutrients!$A$19,Nutrients!$O$19,(IF($A$7=Nutrients!$A$20,Nutrients!$O$20,Nutrients!$O$21)))))*L$7))/2000/2.2046</f>
        <v>1178.2939733676797</v>
      </c>
      <c r="M96" s="93">
        <f>(SUMPRODUCT(M$8:M$79,Nutrients!$O$8:$O$79)+(IF($A$6=Nutrients!$A$8,Nutrients!$O$8,Nutrients!$O$9)*M$6)+(((IF($A$7=Nutrients!$A$19,Nutrients!$O$19,(IF($A$7=Nutrients!$A$20,Nutrients!$O$20,Nutrients!$O$21)))))*M$7))/2000/2.2046</f>
        <v>1186.5180864455513</v>
      </c>
    </row>
    <row r="97" spans="1:13" ht="12.75">
      <c r="A97" s="12" t="s">
        <v>147</v>
      </c>
      <c r="B97" s="93">
        <f>(SUMPRODUCT(B$8:B$79,Nutrients!$P$8:$P$79)+(IF($A$6=Nutrients!$A$8,Nutrients!$P$8,Nutrients!$P$9)*B$6)+(((IF($A$7=Nutrients!$A$19,Nutrients!$P$19,(IF($A$7=Nutrients!$A$20,Nutrients!$P$20,Nutrients!$P$21)))))*B$7))/2000/2.2046</f>
        <v>1586.1199151831272</v>
      </c>
      <c r="C97" s="93">
        <f>(SUMPRODUCT(C$8:C$79,Nutrients!$P$8:$P$79)+(IF($A$6=Nutrients!$A$8,Nutrients!$P$8,Nutrients!$P$9)*C$6)+(((IF($A$7=Nutrients!$A$19,Nutrients!$P$19,(IF($A$7=Nutrients!$A$20,Nutrients!$P$20,Nutrients!$P$21)))))*C$7))/2000/2.2046</f>
        <v>1584.2504202409073</v>
      </c>
      <c r="D97" s="93">
        <f>(SUMPRODUCT(D$8:D$79,Nutrients!$P$8:$P$79)+(IF($A$6=Nutrients!$A$8,Nutrients!$P$8,Nutrients!$P$9)*D$6)+(((IF($A$7=Nutrients!$A$19,Nutrients!$P$19,(IF($A$7=Nutrients!$A$20,Nutrients!$P$20,Nutrients!$P$21)))))*D$7))/2000/2.2046</f>
        <v>1583.1774641802624</v>
      </c>
      <c r="E97" s="93">
        <f>(SUMPRODUCT(E$8:E$79,Nutrients!$P$8:$P$79)+(IF($A$6=Nutrients!$A$8,Nutrients!$P$8,Nutrients!$P$9)*E$6)+(((IF($A$7=Nutrients!$A$19,Nutrients!$P$19,(IF($A$7=Nutrients!$A$20,Nutrients!$P$20,Nutrients!$P$21)))))*E$7))/2000/2.2046</f>
        <v>1580.7999780819146</v>
      </c>
      <c r="F97" s="93">
        <f>(SUMPRODUCT(F$8:F$79,Nutrients!$P$8:$P$79)+(IF($A$6=Nutrients!$A$8,Nutrients!$P$8,Nutrients!$P$9)*F$6)+(((IF($A$7=Nutrients!$A$19,Nutrients!$P$19,(IF($A$7=Nutrients!$A$20,Nutrients!$P$20,Nutrients!$P$21)))))*F$7))/2000/2.2046</f>
        <v>1578.7801440037817</v>
      </c>
      <c r="G97" s="29"/>
      <c r="I97" s="93">
        <f>(SUMPRODUCT(I$8:I$79,Nutrients!$P$8:$P$79)+(IF($A$6=Nutrients!$A$8,Nutrients!$P$8,Nutrients!$P$9)*I$6)+(((IF($A$7=Nutrients!$A$19,Nutrients!$P$19,(IF($A$7=Nutrients!$A$20,Nutrients!$P$20,Nutrients!$P$21)))))*I$7))/2000/2.2046</f>
        <v>1586.9182589307252</v>
      </c>
      <c r="J97" s="93">
        <f>(SUMPRODUCT(J$8:J$79,Nutrients!$P$8:$P$79)+(IF($A$6=Nutrients!$A$8,Nutrients!$P$8,Nutrients!$P$9)*J$6)+(((IF($A$7=Nutrients!$A$19,Nutrients!$P$19,(IF($A$7=Nutrients!$A$20,Nutrients!$P$20,Nutrients!$P$21)))))*J$7))/2000/2.2046</f>
        <v>1584.98208493737</v>
      </c>
      <c r="K97" s="93">
        <f>(SUMPRODUCT(K$8:K$79,Nutrients!$P$8:$P$79)+(IF($A$6=Nutrients!$A$8,Nutrients!$P$8,Nutrients!$P$9)*K$6)+(((IF($A$7=Nutrients!$A$19,Nutrients!$P$19,(IF($A$7=Nutrients!$A$20,Nutrients!$P$20,Nutrients!$P$21)))))*K$7))/2000/2.2046</f>
        <v>1584.2407192663777</v>
      </c>
      <c r="L97" s="93">
        <f>(SUMPRODUCT(L$8:L$79,Nutrients!$P$8:$P$79)+(IF($A$6=Nutrients!$A$8,Nutrients!$P$8,Nutrients!$P$9)*L$6)+(((IF($A$7=Nutrients!$A$19,Nutrients!$P$19,(IF($A$7=Nutrients!$A$20,Nutrients!$P$20,Nutrients!$P$21)))))*L$7))/2000/2.2046</f>
        <v>1581.4649637272425</v>
      </c>
      <c r="M97" s="93">
        <f>(SUMPRODUCT(M$8:M$79,Nutrients!$P$8:$P$79)+(IF($A$6=Nutrients!$A$8,Nutrients!$P$8,Nutrients!$P$9)*M$6)+(((IF($A$7=Nutrients!$A$19,Nutrients!$P$19,(IF($A$7=Nutrients!$A$20,Nutrients!$P$20,Nutrients!$P$21)))))*M$7))/2000/2.2046</f>
        <v>1579.823575861159</v>
      </c>
    </row>
    <row r="98" spans="1:13" ht="12.75">
      <c r="A98" s="12" t="s">
        <v>65</v>
      </c>
      <c r="B98" s="93">
        <f>(SUMPRODUCT(B$8:B$79,Nutrients!$Q$8:$Q$79)+(IF($A$6=Nutrients!$A$8,Nutrients!$Q$8,Nutrients!$Q$9)*B$6)+(((IF($A$7=Nutrients!$A$19,Nutrients!$Q$19,(IF($A$7=Nutrients!$A$20,Nutrients!$Q$20,Nutrients!$Q$21)))))*B$7))/2000/2.2046</f>
        <v>1014.717683679094</v>
      </c>
      <c r="C98" s="93">
        <f>(SUMPRODUCT(C$8:C$79,Nutrients!$Q$8:$Q$79)+(IF($A$6=Nutrients!$A$8,Nutrients!$Q$8,Nutrients!$Q$9)*C$6)+(((IF($A$7=Nutrients!$A$19,Nutrients!$Q$19,(IF($A$7=Nutrients!$A$20,Nutrients!$Q$20,Nutrients!$Q$21)))))*C$7))/2000/2.2046</f>
        <v>1023.9331683648277</v>
      </c>
      <c r="D98" s="93">
        <f>(SUMPRODUCT(D$8:D$79,Nutrients!$Q$8:$Q$79)+(IF($A$6=Nutrients!$A$8,Nutrients!$Q$8,Nutrients!$Q$9)*D$6)+(((IF($A$7=Nutrients!$A$19,Nutrients!$Q$19,(IF($A$7=Nutrients!$A$20,Nutrients!$Q$20,Nutrients!$Q$21)))))*D$7))/2000/2.2046</f>
        <v>1033.698693004322</v>
      </c>
      <c r="E98" s="93">
        <f>(SUMPRODUCT(E$8:E$79,Nutrients!$Q$8:$Q$79)+(IF($A$6=Nutrients!$A$8,Nutrients!$Q$8,Nutrients!$Q$9)*E$6)+(((IF($A$7=Nutrients!$A$19,Nutrients!$Q$19,(IF($A$7=Nutrients!$A$20,Nutrients!$Q$20,Nutrients!$Q$21)))))*E$7))/2000/2.2046</f>
        <v>1041.687854004777</v>
      </c>
      <c r="F98" s="93">
        <f>(SUMPRODUCT(F$8:F$79,Nutrients!$Q$8:$Q$79)+(IF($A$6=Nutrients!$A$8,Nutrients!$Q$8,Nutrients!$Q$9)*F$6)+(((IF($A$7=Nutrients!$A$19,Nutrients!$Q$19,(IF($A$7=Nutrients!$A$20,Nutrients!$Q$20,Nutrients!$Q$21)))))*F$7))/2000/2.2046</f>
        <v>1046.4218401254004</v>
      </c>
      <c r="G98" s="29"/>
      <c r="I98" s="93">
        <f>(SUMPRODUCT(I$8:I$79,Nutrients!$Q$8:$Q$79)+(IF($A$6=Nutrients!$A$8,Nutrients!$Q$8,Nutrients!$Q$9)*I$6)+(((IF($A$7=Nutrients!$A$19,Nutrients!$Q$19,(IF($A$7=Nutrients!$A$20,Nutrients!$Q$20,Nutrients!$Q$21)))))*I$7))/2000/2.2046</f>
        <v>1016.0537976999688</v>
      </c>
      <c r="J98" s="93">
        <f>(SUMPRODUCT(J$8:J$79,Nutrients!$Q$8:$Q$79)+(IF($A$6=Nutrients!$A$8,Nutrients!$Q$8,Nutrients!$Q$9)*J$6)+(((IF($A$7=Nutrients!$A$19,Nutrients!$Q$19,(IF($A$7=Nutrients!$A$20,Nutrients!$Q$20,Nutrients!$Q$21)))))*J$7))/2000/2.2046</f>
        <v>1025.0924333783698</v>
      </c>
      <c r="K98" s="93">
        <f>(SUMPRODUCT(K$8:K$79,Nutrients!$Q$8:$Q$79)+(IF($A$6=Nutrients!$A$8,Nutrients!$Q$8,Nutrients!$Q$9)*K$6)+(((IF($A$7=Nutrients!$A$19,Nutrients!$Q$19,(IF($A$7=Nutrients!$A$20,Nutrients!$Q$20,Nutrients!$Q$21)))))*K$7))/2000/2.2046</f>
        <v>1034.956128987412</v>
      </c>
      <c r="L98" s="93">
        <f>(SUMPRODUCT(L$8:L$79,Nutrients!$Q$8:$Q$79)+(IF($A$6=Nutrients!$A$8,Nutrients!$Q$8,Nutrients!$Q$9)*L$6)+(((IF($A$7=Nutrients!$A$19,Nutrients!$Q$19,(IF($A$7=Nutrients!$A$20,Nutrients!$Q$20,Nutrients!$Q$21)))))*L$7))/2000/2.2046</f>
        <v>1042.6702700109868</v>
      </c>
      <c r="M98" s="93">
        <f>(SUMPRODUCT(M$8:M$79,Nutrients!$Q$8:$Q$79)+(IF($A$6=Nutrients!$A$8,Nutrients!$Q$8,Nutrients!$Q$9)*M$6)+(((IF($A$7=Nutrients!$A$19,Nutrients!$Q$19,(IF($A$7=Nutrients!$A$20,Nutrients!$Q$20,Nutrients!$Q$21)))))*M$7))/2000/2.2046</f>
        <v>1047.7048288130022</v>
      </c>
    </row>
    <row r="99" spans="1:13" ht="12.75">
      <c r="A99" s="7" t="s">
        <v>23</v>
      </c>
      <c r="B99" s="94">
        <f>(SUMPRODUCT(B$8:B$79,Nutrients!$R$8:$R$79)+(IF($A$6=Nutrients!$A$8,Nutrients!$R$8,Nutrients!$R$9)*B$6)+(((IF($A$7=Nutrients!$A$19,Nutrients!$R$19,(IF($A$7=Nutrients!$A$20,Nutrients!$R$20,Nutrients!$R$21)))))*B$7))/2000</f>
        <v>19.38535731552163</v>
      </c>
      <c r="C99" s="94">
        <f>(SUMPRODUCT(C$8:C$79,Nutrients!$R$8:$R$79)+(IF($A$6=Nutrients!$A$8,Nutrients!$R$8,Nutrients!$R$9)*C$6)+(((IF($A$7=Nutrients!$A$19,Nutrients!$R$19,(IF($A$7=Nutrients!$A$20,Nutrients!$R$20,Nutrients!$R$21)))))*C$7))/2000</f>
        <v>17.577816284987275</v>
      </c>
      <c r="D99" s="94">
        <f>(SUMPRODUCT(D$8:D$79,Nutrients!$R$8:$R$79)+(IF($A$6=Nutrients!$A$8,Nutrients!$R$8,Nutrients!$R$9)*D$6)+(((IF($A$7=Nutrients!$A$19,Nutrients!$R$19,(IF($A$7=Nutrients!$A$20,Nutrients!$R$20,Nutrients!$R$21)))))*D$7))/2000</f>
        <v>15.772993288804074</v>
      </c>
      <c r="E99" s="94">
        <f>(SUMPRODUCT(E$8:E$79,Nutrients!$R$8:$R$79)+(IF($A$6=Nutrients!$A$8,Nutrients!$R$8,Nutrients!$R$9)*E$6)+(((IF($A$7=Nutrients!$A$19,Nutrients!$R$19,(IF($A$7=Nutrients!$A$20,Nutrients!$R$20,Nutrients!$R$21)))))*E$7))/2000</f>
        <v>14.113815648854965</v>
      </c>
      <c r="F99" s="94">
        <f>(SUMPRODUCT(F$8:F$79,Nutrients!$R$8:$R$79)+(IF($A$6=Nutrients!$A$8,Nutrients!$R$8,Nutrients!$R$9)*F$6)+(((IF($A$7=Nutrients!$A$19,Nutrients!$R$19,(IF($A$7=Nutrients!$A$20,Nutrients!$R$20,Nutrients!$R$21)))))*F$7))/2000</f>
        <v>13.056245674300259</v>
      </c>
      <c r="G99" s="29"/>
      <c r="I99" s="94">
        <f>(SUMPRODUCT(I$8:I$79,Nutrients!$R$8:$R$79)+(IF($A$6=Nutrients!$A$8,Nutrients!$R$8,Nutrients!$R$9)*I$6)+(((IF($A$7=Nutrients!$A$19,Nutrients!$R$19,(IF($A$7=Nutrients!$A$20,Nutrients!$R$20,Nutrients!$R$21)))))*I$7))/2000</f>
        <v>19.915598489185758</v>
      </c>
      <c r="J99" s="94">
        <f>(SUMPRODUCT(J$8:J$79,Nutrients!$R$8:$R$79)+(IF($A$6=Nutrients!$A$8,Nutrients!$R$8,Nutrients!$R$9)*J$6)+(((IF($A$7=Nutrients!$A$19,Nutrients!$R$19,(IF($A$7=Nutrients!$A$20,Nutrients!$R$20,Nutrients!$R$21)))))*J$7))/2000</f>
        <v>18.01991043256998</v>
      </c>
      <c r="K99" s="94">
        <f>(SUMPRODUCT(K$8:K$79,Nutrients!$R$8:$R$79)+(IF($A$6=Nutrients!$A$8,Nutrients!$R$8,Nutrients!$R$9)*K$6)+(((IF($A$7=Nutrients!$A$19,Nutrients!$R$19,(IF($A$7=Nutrients!$A$20,Nutrients!$R$20,Nutrients!$R$21)))))*K$7))/2000</f>
        <v>16.12829942748092</v>
      </c>
      <c r="L99" s="94">
        <f>(SUMPRODUCT(L$8:L$79,Nutrients!$R$8:$R$79)+(IF($A$6=Nutrients!$A$8,Nutrients!$R$8,Nutrients!$R$9)*L$6)+(((IF($A$7=Nutrients!$A$19,Nutrients!$R$19,(IF($A$7=Nutrients!$A$20,Nutrients!$R$20,Nutrients!$R$21)))))*L$7))/2000</f>
        <v>14.46776277035624</v>
      </c>
      <c r="M99" s="94">
        <f>(SUMPRODUCT(M$8:M$79,Nutrients!$R$8:$R$79)+(IF($A$6=Nutrients!$A$8,Nutrients!$R$8,Nutrients!$R$9)*M$6)+(((IF($A$7=Nutrients!$A$19,Nutrients!$R$19,(IF($A$7=Nutrients!$A$20,Nutrients!$R$20,Nutrients!$R$21)))))*M$7))/2000</f>
        <v>13.437860019083969</v>
      </c>
    </row>
    <row r="100" spans="1:13" ht="12.75">
      <c r="A100" s="7" t="s">
        <v>24</v>
      </c>
      <c r="B100" s="95">
        <f>(SUMPRODUCT(B$8:B$79,Nutrients!$S$8:$S$79)+(IF($A$6=Nutrients!$A$8,Nutrients!$S$8,Nutrients!$S$9)*B$6)+(((IF($A$7=Nutrients!$A$19,Nutrients!$S$19,(IF($A$7=Nutrients!$A$20,Nutrients!$S$20,Nutrients!$S$21)))))*B$7))/2000</f>
        <v>0.5715390728371501</v>
      </c>
      <c r="C100" s="95">
        <f>(SUMPRODUCT(C$8:C$79,Nutrients!$S$8:$S$79)+(IF($A$6=Nutrients!$A$8,Nutrients!$S$8,Nutrients!$S$9)*C$6)+(((IF($A$7=Nutrients!$A$19,Nutrients!$S$19,(IF($A$7=Nutrients!$A$20,Nutrients!$S$20,Nutrients!$S$21)))))*C$7))/2000</f>
        <v>0.5382540012722646</v>
      </c>
      <c r="D100" s="95">
        <f>(SUMPRODUCT(D$8:D$79,Nutrients!$S$8:$S$79)+(IF($A$6=Nutrients!$A$8,Nutrients!$S$8,Nutrients!$S$9)*D$6)+(((IF($A$7=Nutrients!$A$19,Nutrients!$S$19,(IF($A$7=Nutrients!$A$20,Nutrients!$S$20,Nutrients!$S$21)))))*D$7))/2000</f>
        <v>0.5049714320928754</v>
      </c>
      <c r="E100" s="95">
        <f>(SUMPRODUCT(E$8:E$79,Nutrients!$S$8:$S$79)+(IF($A$6=Nutrients!$A$8,Nutrients!$S$8,Nutrients!$S$9)*E$6)+(((IF($A$7=Nutrients!$A$19,Nutrients!$S$19,(IF($A$7=Nutrients!$A$20,Nutrients!$S$20,Nutrients!$S$21)))))*E$7))/2000</f>
        <v>0.4914163645038168</v>
      </c>
      <c r="F100" s="95">
        <f>(SUMPRODUCT(F$8:F$79,Nutrients!$S$8:$S$79)+(IF($A$6=Nutrients!$A$8,Nutrients!$S$8,Nutrients!$S$9)*F$6)+(((IF($A$7=Nutrients!$A$19,Nutrients!$S$19,(IF($A$7=Nutrients!$A$20,Nutrients!$S$20,Nutrients!$S$21)))))*F$7))/2000</f>
        <v>0.4920388199745548</v>
      </c>
      <c r="G100" s="29"/>
      <c r="I100" s="95">
        <f>(SUMPRODUCT(I$8:I$79,Nutrients!$S$8:$S$79)+(IF($A$6=Nutrients!$A$8,Nutrients!$S$8,Nutrients!$S$9)*I$6)+(((IF($A$7=Nutrients!$A$19,Nutrients!$S$19,(IF($A$7=Nutrients!$A$20,Nutrients!$S$20,Nutrients!$S$21)))))*I$7))/2000</f>
        <v>0.5722181126749365</v>
      </c>
      <c r="J100" s="95">
        <f>(SUMPRODUCT(J$8:J$79,Nutrients!$S$8:$S$79)+(IF($A$6=Nutrients!$A$8,Nutrients!$S$8,Nutrients!$S$9)*J$6)+(((IF($A$7=Nutrients!$A$19,Nutrients!$S$19,(IF($A$7=Nutrients!$A$20,Nutrients!$S$20,Nutrients!$S$21)))))*J$7))/2000</f>
        <v>0.5372367430025445</v>
      </c>
      <c r="K100" s="95">
        <f>(SUMPRODUCT(K$8:K$79,Nutrients!$S$8:$S$79)+(IF($A$6=Nutrients!$A$8,Nutrients!$S$8,Nutrients!$S$9)*K$6)+(((IF($A$7=Nutrients!$A$19,Nutrients!$S$19,(IF($A$7=Nutrients!$A$20,Nutrients!$S$20,Nutrients!$S$21)))))*K$7))/2000</f>
        <v>0.49275912690839696</v>
      </c>
      <c r="L100" s="95">
        <f>(SUMPRODUCT(L$8:L$79,Nutrients!$S$8:$S$79)+(IF($A$6=Nutrients!$A$8,Nutrients!$S$8,Nutrients!$S$9)*L$6)+(((IF($A$7=Nutrients!$A$19,Nutrients!$S$19,(IF($A$7=Nutrients!$A$20,Nutrients!$S$20,Nutrients!$S$21)))))*L$7))/2000</f>
        <v>0.4887028081265904</v>
      </c>
      <c r="M100" s="95">
        <f>(SUMPRODUCT(M$8:M$79,Nutrients!$S$8:$S$79)+(IF($A$6=Nutrients!$A$8,Nutrients!$S$8,Nutrients!$S$9)*M$6)+(((IF($A$7=Nutrients!$A$19,Nutrients!$S$19,(IF($A$7=Nutrients!$A$20,Nutrients!$S$20,Nutrients!$S$21)))))*M$7))/2000</f>
        <v>0.4851852791030534</v>
      </c>
    </row>
    <row r="101" spans="1:13" ht="12.75">
      <c r="A101" s="7" t="s">
        <v>25</v>
      </c>
      <c r="B101" s="95">
        <f>(SUMPRODUCT(B$8:B$79,Nutrients!$T$8:$T$79)+(IF($A$6=Nutrients!$A$8,Nutrients!$T$8,Nutrients!$T$9)*B$6)+(((IF($A$7=Nutrients!$A$19,Nutrients!$T$19,(IF($A$7=Nutrients!$A$20,Nutrients!$T$20,Nutrients!$T$21)))))*B$7))/2000</f>
        <v>0.5175726447201018</v>
      </c>
      <c r="C101" s="95">
        <f>(SUMPRODUCT(C$8:C$79,Nutrients!$T$8:$T$79)+(IF($A$6=Nutrients!$A$8,Nutrients!$T$8,Nutrients!$T$9)*C$6)+(((IF($A$7=Nutrients!$A$19,Nutrients!$T$19,(IF($A$7=Nutrients!$A$20,Nutrients!$T$20,Nutrients!$T$21)))))*C$7))/2000</f>
        <v>0.4772585178117049</v>
      </c>
      <c r="D101" s="95">
        <f>(SUMPRODUCT(D$8:D$79,Nutrients!$T$8:$T$79)+(IF($A$6=Nutrients!$A$8,Nutrients!$T$8,Nutrients!$T$9)*D$6)+(((IF($A$7=Nutrients!$A$19,Nutrients!$T$19,(IF($A$7=Nutrients!$A$20,Nutrients!$T$20,Nutrients!$T$21)))))*D$7))/2000</f>
        <v>0.4370678618002545</v>
      </c>
      <c r="E101" s="95">
        <f>(SUMPRODUCT(E$8:E$79,Nutrients!$T$8:$T$79)+(IF($A$6=Nutrients!$A$8,Nutrients!$T$8,Nutrients!$T$9)*E$6)+(((IF($A$7=Nutrients!$A$19,Nutrients!$T$19,(IF($A$7=Nutrients!$A$20,Nutrients!$T$20,Nutrients!$T$21)))))*E$7))/2000</f>
        <v>0.4192603530534352</v>
      </c>
      <c r="F101" s="95">
        <f>(SUMPRODUCT(F$8:F$79,Nutrients!$T$8:$T$79)+(IF($A$6=Nutrients!$A$8,Nutrients!$T$8,Nutrients!$T$9)*F$6)+(((IF($A$7=Nutrients!$A$19,Nutrients!$T$19,(IF($A$7=Nutrients!$A$20,Nutrients!$T$20,Nutrients!$T$21)))))*F$7))/2000</f>
        <v>0.41834972964376593</v>
      </c>
      <c r="G101" s="29"/>
      <c r="I101" s="95">
        <f>(SUMPRODUCT(I$8:I$79,Nutrients!$T$8:$T$79)+(IF($A$6=Nutrients!$A$8,Nutrients!$T$8,Nutrients!$T$9)*I$6)+(((IF($A$7=Nutrients!$A$19,Nutrients!$T$19,(IF($A$7=Nutrients!$A$20,Nutrients!$T$20,Nutrients!$T$21)))))*I$7))/2000</f>
        <v>0.5263993586991095</v>
      </c>
      <c r="J101" s="95">
        <f>(SUMPRODUCT(J$8:J$79,Nutrients!$T$8:$T$79)+(IF($A$6=Nutrients!$A$8,Nutrients!$T$8,Nutrients!$T$9)*J$6)+(((IF($A$7=Nutrients!$A$19,Nutrients!$T$19,(IF($A$7=Nutrients!$A$20,Nutrients!$T$20,Nutrients!$T$21)))))*J$7))/2000</f>
        <v>0.48462440203562346</v>
      </c>
      <c r="K101" s="95">
        <f>(SUMPRODUCT(K$8:K$79,Nutrients!$T$8:$T$79)+(IF($A$6=Nutrients!$A$8,Nutrients!$T$8,Nutrients!$T$9)*K$6)+(((IF($A$7=Nutrients!$A$19,Nutrients!$T$19,(IF($A$7=Nutrients!$A$20,Nutrients!$T$20,Nutrients!$T$21)))))*K$7))/2000</f>
        <v>0.4430346517175573</v>
      </c>
      <c r="L101" s="95">
        <f>(SUMPRODUCT(L$8:L$79,Nutrients!$T$8:$T$79)+(IF($A$6=Nutrients!$A$8,Nutrients!$T$8,Nutrients!$T$9)*L$6)+(((IF($A$7=Nutrients!$A$19,Nutrients!$T$19,(IF($A$7=Nutrients!$A$20,Nutrients!$T$20,Nutrients!$T$21)))))*L$7))/2000</f>
        <v>0.42516540752226467</v>
      </c>
      <c r="M101" s="95">
        <f>(SUMPRODUCT(M$8:M$79,Nutrients!$T$8:$T$79)+(IF($A$6=Nutrients!$A$8,Nutrients!$T$8,Nutrients!$T$9)*M$6)+(((IF($A$7=Nutrients!$A$19,Nutrients!$T$19,(IF($A$7=Nutrients!$A$20,Nutrients!$T$20,Nutrients!$T$21)))))*M$7))/2000</f>
        <v>0.4205485949427481</v>
      </c>
    </row>
    <row r="102" spans="1:13" ht="12.75">
      <c r="A102" s="8" t="s">
        <v>26</v>
      </c>
      <c r="B102" s="95">
        <f>(SUMPRODUCT(B$8:B$79,Nutrients!$V$8:$V$79)+(IF($A$6=Nutrients!$A$8,Nutrients!$V$8,Nutrients!$V$9)*B$6)+(((IF($A$7=Nutrients!$A$19,Nutrients!$V$19,(IF($A$7=Nutrients!$A$20,Nutrients!$V$20,Nutrients!$V$21)))))*B$7))/2000</f>
        <v>0.19869476840012723</v>
      </c>
      <c r="C102" s="95">
        <f>(SUMPRODUCT(C$8:C$79,Nutrients!$V$8:$V$79)+(IF($A$6=Nutrients!$A$8,Nutrients!$V$8,Nutrients!$V$9)*C$6)+(((IF($A$7=Nutrients!$A$19,Nutrients!$V$19,(IF($A$7=Nutrients!$A$20,Nutrients!$V$20,Nutrients!$V$21)))))*C$7))/2000</f>
        <v>0.17202299726463105</v>
      </c>
      <c r="D102" s="95">
        <f>(SUMPRODUCT(D$8:D$79,Nutrients!$V$8:$V$79)+(IF($A$6=Nutrients!$A$8,Nutrients!$V$8,Nutrients!$V$9)*D$6)+(((IF($A$7=Nutrients!$A$19,Nutrients!$V$19,(IF($A$7=Nutrients!$A$20,Nutrients!$V$20,Nutrients!$V$21)))))*D$7))/2000</f>
        <v>0.14536600850031808</v>
      </c>
      <c r="E102" s="95">
        <f>(SUMPRODUCT(E$8:E$79,Nutrients!$V$8:$V$79)+(IF($A$6=Nutrients!$A$8,Nutrients!$V$8,Nutrients!$V$9)*E$6)+(((IF($A$7=Nutrients!$A$19,Nutrients!$V$19,(IF($A$7=Nutrients!$A$20,Nutrients!$V$20,Nutrients!$V$21)))))*E$7))/2000</f>
        <v>0.1401545663167939</v>
      </c>
      <c r="F102" s="95">
        <f>(SUMPRODUCT(F$8:F$79,Nutrients!$V$8:$V$79)+(IF($A$6=Nutrients!$A$8,Nutrients!$V$8,Nutrients!$V$9)*F$6)+(((IF($A$7=Nutrients!$A$19,Nutrients!$V$19,(IF($A$7=Nutrients!$A$20,Nutrients!$V$20,Nutrients!$V$21)))))*F$7))/2000</f>
        <v>0.1473287870547074</v>
      </c>
      <c r="G102" s="29"/>
      <c r="I102" s="95">
        <f>(SUMPRODUCT(I$8:I$79,Nutrients!$V$8:$V$79)+(IF($A$6=Nutrients!$A$8,Nutrients!$V$8,Nutrients!$V$9)*I$6)+(((IF($A$7=Nutrients!$A$19,Nutrients!$V$19,(IF($A$7=Nutrients!$A$20,Nutrients!$V$20,Nutrients!$V$21)))))*I$7))/2000</f>
        <v>0.2037235764988868</v>
      </c>
      <c r="J102" s="95">
        <f>(SUMPRODUCT(J$8:J$79,Nutrients!$V$8:$V$79)+(IF($A$6=Nutrients!$A$8,Nutrients!$V$8,Nutrients!$V$9)*J$6)+(((IF($A$7=Nutrients!$A$19,Nutrients!$V$19,(IF($A$7=Nutrients!$A$20,Nutrients!$V$20,Nutrients!$V$21)))))*J$7))/2000</f>
        <v>0.1762149025445293</v>
      </c>
      <c r="K102" s="95">
        <f>(SUMPRODUCT(K$8:K$79,Nutrients!$V$8:$V$79)+(IF($A$6=Nutrients!$A$8,Nutrients!$V$8,Nutrients!$V$9)*K$6)+(((IF($A$7=Nutrients!$A$19,Nutrients!$V$19,(IF($A$7=Nutrients!$A$20,Nutrients!$V$20,Nutrients!$V$21)))))*K$7))/2000</f>
        <v>0.1487284021469466</v>
      </c>
      <c r="L102" s="95">
        <f>(SUMPRODUCT(L$8:L$79,Nutrients!$V$8:$V$79)+(IF($A$6=Nutrients!$A$8,Nutrients!$V$8,Nutrients!$V$9)*L$6)+(((IF($A$7=Nutrients!$A$19,Nutrients!$V$19,(IF($A$7=Nutrients!$A$20,Nutrients!$V$20,Nutrients!$V$21)))))*L$7))/2000</f>
        <v>0.1435095687778308</v>
      </c>
      <c r="M102" s="95">
        <f>(SUMPRODUCT(M$8:M$79,Nutrients!$V$8:$V$79)+(IF($A$6=Nutrients!$A$8,Nutrients!$V$8,Nutrients!$V$9)*M$6)+(((IF($A$7=Nutrients!$A$19,Nutrients!$V$19,(IF($A$7=Nutrients!$A$20,Nutrients!$V$20,Nutrients!$V$21)))))*M$7))/2000</f>
        <v>0.1467415124284351</v>
      </c>
    </row>
    <row r="103" spans="1:13" ht="12.75">
      <c r="A103" s="8" t="s">
        <v>57</v>
      </c>
      <c r="B103" s="95">
        <f>IF((SUMPRODUCT(B$8:B$79,Nutrients!$AD$8:$AD$79))=0,B102,B102+0.00000000053*((SUMPRODUCT(B$8:B$79,Nutrients!$AD$8:$AD$79)/907))^3-0.00000095017*((SUMPRODUCT(B$8:B$79,Nutrients!$AD$8:$AD$79)/907))^2+0.00061012623*((SUMPRODUCT(B$8:B$79,Nutrients!$AD$8:$AD$79)/907))-0.033396)</f>
        <v>0.2957296647522262</v>
      </c>
      <c r="C103" s="95">
        <f>IF((SUMPRODUCT(C$8:C$79,Nutrients!$AD$8:$AD$79))=0,C102,C102+0.00000000053*((SUMPRODUCT(C$8:C$79,Nutrients!$AD$8:$AD$79)/907))^3-0.00000095017*((SUMPRODUCT(C$8:C$79,Nutrients!$AD$8:$AD$79)/907))^2+0.00061012623*((SUMPRODUCT(C$8:C$79,Nutrients!$AD$8:$AD$79)/907))-0.033396)</f>
        <v>0.26905789361673</v>
      </c>
      <c r="D103" s="95">
        <f>IF((SUMPRODUCT(D$8:D$79,Nutrients!$AD$8:$AD$79))=0,D102,D102+0.00000000053*((SUMPRODUCT(D$8:D$79,Nutrients!$AD$8:$AD$79)/907))^3-0.00000095017*((SUMPRODUCT(D$8:D$79,Nutrients!$AD$8:$AD$79)/907))^2+0.00061012623*((SUMPRODUCT(D$8:D$79,Nutrients!$AD$8:$AD$79)/907))-0.033396)</f>
        <v>0.23508221192696474</v>
      </c>
      <c r="E103" s="95">
        <f>IF((SUMPRODUCT(E$8:E$79,Nutrients!$AD$8:$AD$79))=0,E102,E102+0.00000000053*((SUMPRODUCT(E$8:E$79,Nutrients!$AD$8:$AD$79)/907))^3-0.00000095017*((SUMPRODUCT(E$8:E$79,Nutrients!$AD$8:$AD$79)/907))^2+0.00061012623*((SUMPRODUCT(E$8:E$79,Nutrients!$AD$8:$AD$79)/907))-0.033396)</f>
        <v>0.21857093946176295</v>
      </c>
      <c r="F103" s="95">
        <f>IF((SUMPRODUCT(F$8:F$79,Nutrients!$AD$8:$AD$79))=0,F102,F102+0.00000000053*((SUMPRODUCT(F$8:F$79,Nutrients!$AD$8:$AD$79)/907))^3-0.00000095017*((SUMPRODUCT(F$8:F$79,Nutrients!$AD$8:$AD$79)/907))^2+0.00061012623*((SUMPRODUCT(F$8:F$79,Nutrients!$AD$8:$AD$79)/907))-0.033396)</f>
        <v>0.20912410863897324</v>
      </c>
      <c r="G103" s="29"/>
      <c r="I103" s="95">
        <f>IF((SUMPRODUCT(I$8:I$79,Nutrients!$AD$8:$AD$79))=0,I102,I102+0.00000000053*((SUMPRODUCT(I$8:I$79,Nutrients!$AD$8:$AD$79)/907))^3-0.00000095017*((SUMPRODUCT(I$8:I$79,Nutrients!$AD$8:$AD$79)/907))^2+0.00061012623*((SUMPRODUCT(I$8:I$79,Nutrients!$AD$8:$AD$79)/907))-0.033396)</f>
        <v>0.3007584728509858</v>
      </c>
      <c r="J103" s="95">
        <f>IF((SUMPRODUCT(J$8:J$79,Nutrients!$AD$8:$AD$79))=0,J102,J102+0.00000000053*((SUMPRODUCT(J$8:J$79,Nutrients!$AD$8:$AD$79)/907))^3-0.00000095017*((SUMPRODUCT(J$8:J$79,Nutrients!$AD$8:$AD$79)/907))^2+0.00061012623*((SUMPRODUCT(J$8:J$79,Nutrients!$AD$8:$AD$79)/907))-0.033396)</f>
        <v>0.27324979889662826</v>
      </c>
      <c r="K103" s="95">
        <f>IF((SUMPRODUCT(K$8:K$79,Nutrients!$AD$8:$AD$79))=0,K102,K102+0.00000000053*((SUMPRODUCT(K$8:K$79,Nutrients!$AD$8:$AD$79)/907))^3-0.00000095017*((SUMPRODUCT(K$8:K$79,Nutrients!$AD$8:$AD$79)/907))^2+0.00061012623*((SUMPRODUCT(K$8:K$79,Nutrients!$AD$8:$AD$79)/907))-0.033396)</f>
        <v>0.23844460557359323</v>
      </c>
      <c r="L103" s="95">
        <f>IF((SUMPRODUCT(L$8:L$79,Nutrients!$AD$8:$AD$79))=0,L102,L102+0.00000000053*((SUMPRODUCT(L$8:L$79,Nutrients!$AD$8:$AD$79)/907))^3-0.00000095017*((SUMPRODUCT(L$8:L$79,Nutrients!$AD$8:$AD$79)/907))^2+0.00061012623*((SUMPRODUCT(L$8:L$79,Nutrients!$AD$8:$AD$79)/907))-0.033396)</f>
        <v>0.22192594192279988</v>
      </c>
      <c r="M103" s="95">
        <f>IF((SUMPRODUCT(M$8:M$79,Nutrients!$AD$8:$AD$79))=0,M102,M102+0.00000000053*((SUMPRODUCT(M$8:M$79,Nutrients!$AD$8:$AD$79)/907))^3-0.00000095017*((SUMPRODUCT(M$8:M$79,Nutrients!$AD$8:$AD$79)/907))^2+0.00061012623*((SUMPRODUCT(M$8:M$79,Nutrients!$AD$8:$AD$79)/907))-0.033396)</f>
        <v>0.20853683401270096</v>
      </c>
    </row>
    <row r="104" spans="1:13" ht="12.75">
      <c r="A104" t="s">
        <v>62</v>
      </c>
      <c r="B104" s="95">
        <f>IF(B$4="","",(B103)/(B94*2.2046)*10000)</f>
        <v>0.8863903818963604</v>
      </c>
      <c r="C104" s="95">
        <f>IF(C$4="","",(C103)/(C94*2.2046)*10000)</f>
        <v>0.8051604110468122</v>
      </c>
      <c r="D104" s="95">
        <f>IF(D$4="","",(D103)/(D94*2.2046)*10000)</f>
        <v>0.7020079722400848</v>
      </c>
      <c r="E104" s="95">
        <f>IF(E$4="","",(E103)/(E94*2.2046)*10000)</f>
        <v>0.652027739274759</v>
      </c>
      <c r="F104" s="95">
        <f>IF(F$4="","",(F103)/(F94*2.2046)*10000)</f>
        <v>0.6236394131940913</v>
      </c>
      <c r="G104" s="29"/>
      <c r="I104" s="95">
        <f>IF(I$4="","",(I103)/(I94*2.2046)*10000)</f>
        <v>0.9009741861547492</v>
      </c>
      <c r="J104" s="95">
        <f>IF(J$4="","",(J103)/(J94*2.2046)*10000)</f>
        <v>0.8173007791528858</v>
      </c>
      <c r="K104" s="95">
        <f>IF(K$4="","",(K103)/(K94*2.2046)*10000)</f>
        <v>0.7115498394857394</v>
      </c>
      <c r="L104" s="95">
        <f>IF(L$4="","",(L103)/(L94*2.2046)*10000)</f>
        <v>0.6617415411311797</v>
      </c>
      <c r="M104" s="95">
        <f>IF(M$4="","",(M103)/(M94*2.2046)*10000)</f>
        <v>0.6214598635240142</v>
      </c>
    </row>
    <row r="105" spans="1:13" ht="12.75">
      <c r="A105" t="s">
        <v>42</v>
      </c>
      <c r="B105" s="96">
        <f>(SUMPRODUCT(B$8:B$79,Nutrients!$D$8:$D$79)+(IF($A$6=Nutrients!$A$8,Nutrients!$D$8,Nutrients!$D$9)*B$6)+(((IF($A$7=Nutrients!$A$19,Nutrients!$D$19,(IF($A$7=Nutrients!$A$20,Nutrients!$D$20,Nutrients!$D$21)))))*B$7))</f>
        <v>210.38761802526358</v>
      </c>
      <c r="C105" s="96">
        <f>(SUMPRODUCT(C$8:C$79,Nutrients!$D$8:$D$79)+(IF($A$6=Nutrients!$A$8,Nutrients!$D$8,Nutrients!$D$9)*C$6)+(((IF($A$7=Nutrients!$A$19,Nutrients!$D$19,(IF($A$7=Nutrients!$A$20,Nutrients!$D$20,Nutrients!$D$21)))))*C$7))</f>
        <v>202.76388540530718</v>
      </c>
      <c r="D105" s="96">
        <f>(SUMPRODUCT(D$8:D$79,Nutrients!$D$8:$D$79)+(IF($A$6=Nutrients!$A$8,Nutrients!$D$8,Nutrients!$D$9)*D$6)+(((IF($A$7=Nutrients!$A$19,Nutrients!$D$19,(IF($A$7=Nutrients!$A$20,Nutrients!$D$20,Nutrients!$D$21)))))*D$7))</f>
        <v>194.7044914917303</v>
      </c>
      <c r="E105" s="96">
        <f>(SUMPRODUCT(E$8:E$79,Nutrients!$D$8:$D$79)+(IF($A$6=Nutrients!$A$8,Nutrients!$D$8,Nutrients!$D$9)*E$6)+(((IF($A$7=Nutrients!$A$19,Nutrients!$D$19,(IF($A$7=Nutrients!$A$20,Nutrients!$D$20,Nutrients!$D$21)))))*E$7))</f>
        <v>187.7399543347874</v>
      </c>
      <c r="F105" s="96">
        <f>(SUMPRODUCT(F$8:F$79,Nutrients!$D$8:$D$79)+(IF($A$6=Nutrients!$A$8,Nutrients!$D$8,Nutrients!$D$9)*F$6)+(((IF($A$7=Nutrients!$A$19,Nutrients!$D$19,(IF($A$7=Nutrients!$A$20,Nutrients!$D$20,Nutrients!$D$21)))))*F$7))</f>
        <v>183.40021514903674</v>
      </c>
      <c r="G105" s="29"/>
      <c r="I105" s="96">
        <f>(SUMPRODUCT(I$8:I$79,Nutrients!$D$8:$D$79)+(IF($A$6=Nutrients!$A$8,Nutrients!$D$8,Nutrients!$D$9)*I$6)+(((IF($A$7=Nutrients!$A$19,Nutrients!$D$19,(IF($A$7=Nutrients!$A$20,Nutrients!$D$20,Nutrients!$D$21)))))*I$7))</f>
        <v>209.38887799322976</v>
      </c>
      <c r="J105" s="96">
        <f>(SUMPRODUCT(J$8:J$79,Nutrients!$D$8:$D$79)+(IF($A$6=Nutrients!$A$8,Nutrients!$D$8,Nutrients!$D$9)*J$6)+(((IF($A$7=Nutrients!$A$19,Nutrients!$D$19,(IF($A$7=Nutrients!$A$20,Nutrients!$D$20,Nutrients!$D$21)))))*J$7))</f>
        <v>201.93550527081067</v>
      </c>
      <c r="K105" s="96">
        <f>(SUMPRODUCT(K$8:K$79,Nutrients!$D$8:$D$79)+(IF($A$6=Nutrients!$A$8,Nutrients!$D$8,Nutrients!$D$9)*K$6)+(((IF($A$7=Nutrients!$A$19,Nutrients!$D$19,(IF($A$7=Nutrients!$A$20,Nutrients!$D$20,Nutrients!$D$21)))))*K$7))</f>
        <v>194.06989060796076</v>
      </c>
      <c r="L105" s="96">
        <f>(SUMPRODUCT(L$8:L$79,Nutrients!$D$8:$D$79)+(IF($A$6=Nutrients!$A$8,Nutrients!$D$8,Nutrients!$D$9)*L$6)+(((IF($A$7=Nutrients!$A$19,Nutrients!$D$19,(IF($A$7=Nutrients!$A$20,Nutrients!$D$20,Nutrients!$D$21)))))*L$7))</f>
        <v>187.0819340978281</v>
      </c>
      <c r="M105" s="96">
        <f>(SUMPRODUCT(M$8:M$79,Nutrients!$D$8:$D$79)+(IF($A$6=Nutrients!$A$8,Nutrients!$D$8,Nutrients!$D$9)*M$6)+(((IF($A$7=Nutrients!$A$19,Nutrients!$D$19,(IF($A$7=Nutrients!$A$20,Nutrients!$D$20,Nutrients!$D$21)))))*M$7))</f>
        <v>182.59316436068704</v>
      </c>
    </row>
    <row r="106" spans="1:13" ht="12.75">
      <c r="A106" t="s">
        <v>43</v>
      </c>
      <c r="B106" s="97">
        <f>IF(B$4="","",B105+Nutrients!$B$5)</f>
        <v>222.38761802526358</v>
      </c>
      <c r="C106" s="97">
        <f>IF(C$4="","",C105+Nutrients!$B$5)</f>
        <v>214.76388540530718</v>
      </c>
      <c r="D106" s="97">
        <f>IF(D$4="","",D105+Nutrients!$B$5)</f>
        <v>206.7044914917303</v>
      </c>
      <c r="E106" s="97">
        <f>IF(E$4="","",E105+Nutrients!$B$5)</f>
        <v>199.7399543347874</v>
      </c>
      <c r="F106" s="97">
        <f>IF(F$4="","",F105+Nutrients!$B$5)</f>
        <v>195.40021514903674</v>
      </c>
      <c r="G106" s="29"/>
      <c r="I106" s="97">
        <f>IF(I$4="","",I105+Nutrients!$B$5)</f>
        <v>221.38887799322976</v>
      </c>
      <c r="J106" s="97">
        <f>IF(J$4="","",J105+Nutrients!$B$5)</f>
        <v>213.93550527081067</v>
      </c>
      <c r="K106" s="97">
        <f>IF(K$4="","",K105+Nutrients!$B$5)</f>
        <v>206.06989060796076</v>
      </c>
      <c r="L106" s="97">
        <f>IF(L$4="","",L105+Nutrients!$B$5)</f>
        <v>199.0819340978281</v>
      </c>
      <c r="M106" s="97">
        <f>IF(M$4="","",M105+Nutrients!$B$5)</f>
        <v>194.59316436068704</v>
      </c>
    </row>
    <row r="107" spans="1:13" ht="12.75">
      <c r="A107" t="s">
        <v>75</v>
      </c>
      <c r="B107" s="32">
        <v>62.792668269230774</v>
      </c>
      <c r="C107" s="32">
        <v>121.6420483299595</v>
      </c>
      <c r="D107" s="32">
        <v>112.60247975708495</v>
      </c>
      <c r="E107" s="32">
        <v>159.86415106275314</v>
      </c>
      <c r="F107" s="32">
        <v>181.0986525809716</v>
      </c>
      <c r="G107" s="127"/>
      <c r="I107" s="32">
        <v>62.792668269230774</v>
      </c>
      <c r="J107" s="32">
        <v>121.6420483299595</v>
      </c>
      <c r="K107" s="32">
        <v>112.60247975708495</v>
      </c>
      <c r="L107" s="32">
        <v>159.86415106275314</v>
      </c>
      <c r="M107" s="32">
        <v>181.0986525809716</v>
      </c>
    </row>
    <row r="108" spans="1:14" ht="12.75">
      <c r="A108" t="s">
        <v>83</v>
      </c>
      <c r="B108" s="97">
        <f>IF(B$107="","",B107*B106/2000)</f>
        <v>6.982155962922391</v>
      </c>
      <c r="C108" s="97">
        <f>IF(C$107="","",C107*C106/2000)</f>
        <v>13.06215946400113</v>
      </c>
      <c r="D108" s="97">
        <f>IF(D$107="","",D107*D106/2000)</f>
        <v>11.63771915944805</v>
      </c>
      <c r="E108" s="97">
        <f>IF(E$107="","",E107*E106/2000)</f>
        <v>15.965629116521933</v>
      </c>
      <c r="F108" s="97">
        <f>IF(F$107="","",F107*F106/2000)</f>
        <v>17.693357838761255</v>
      </c>
      <c r="G108" s="101"/>
      <c r="H108" s="132">
        <f>SUM(B108:G108)</f>
        <v>65.34102154165475</v>
      </c>
      <c r="I108" s="97">
        <f>IF(I$107="","",I107*I106/2000)</f>
        <v>6.950799187163041</v>
      </c>
      <c r="J108" s="97">
        <f>IF(J$107="","",J107*J106/2000)</f>
        <v>13.011776535823127</v>
      </c>
      <c r="K108" s="97">
        <f>IF(K$107="","",K107*K106/2000)</f>
        <v>11.601990342863806</v>
      </c>
      <c r="L108" s="97">
        <f>IF(L$107="","",L107*L106/2000)</f>
        <v>15.913032193240129</v>
      </c>
      <c r="M108" s="97">
        <f>IF(M$107="","",M107*M106/2000)</f>
        <v>17.62027993359398</v>
      </c>
      <c r="N108" s="132">
        <f>SUM(I108:M108)</f>
        <v>65.09787819268408</v>
      </c>
    </row>
    <row r="110" spans="2:13" ht="12.75">
      <c r="B110" s="9" t="s">
        <v>76</v>
      </c>
      <c r="C110" s="9"/>
      <c r="D110" s="9"/>
      <c r="E110" s="9"/>
      <c r="F110" s="9"/>
      <c r="I110" s="9" t="s">
        <v>76</v>
      </c>
      <c r="J110" s="9"/>
      <c r="K110" s="9"/>
      <c r="L110" s="9"/>
      <c r="M110" s="9"/>
    </row>
    <row r="111" spans="2:13" ht="12.75">
      <c r="B111" s="25">
        <v>50</v>
      </c>
      <c r="C111" s="26">
        <v>70</v>
      </c>
      <c r="D111" s="26">
        <v>110</v>
      </c>
      <c r="E111" s="26">
        <v>150</v>
      </c>
      <c r="F111" s="26">
        <v>200</v>
      </c>
      <c r="I111" s="25">
        <v>50</v>
      </c>
      <c r="J111" s="26">
        <v>70</v>
      </c>
      <c r="K111" s="26">
        <v>110</v>
      </c>
      <c r="L111" s="26">
        <v>150</v>
      </c>
      <c r="M111" s="26">
        <v>200</v>
      </c>
    </row>
    <row r="112" spans="2:13" ht="12.75">
      <c r="B112" s="38">
        <v>70</v>
      </c>
      <c r="C112" s="38">
        <v>110</v>
      </c>
      <c r="D112" s="38">
        <v>150</v>
      </c>
      <c r="E112" s="38">
        <v>200</v>
      </c>
      <c r="F112" s="38">
        <v>250</v>
      </c>
      <c r="I112" s="38">
        <v>70</v>
      </c>
      <c r="J112" s="38">
        <v>110</v>
      </c>
      <c r="K112" s="38">
        <v>150</v>
      </c>
      <c r="L112" s="38">
        <v>200</v>
      </c>
      <c r="M112" s="38">
        <v>250</v>
      </c>
    </row>
    <row r="113" spans="1:13" ht="12.75">
      <c r="A113" t="s">
        <v>74</v>
      </c>
      <c r="B113" s="32">
        <v>45.16363636363634</v>
      </c>
      <c r="C113" s="32">
        <v>101.55151515151515</v>
      </c>
      <c r="D113" s="32">
        <v>116.51717171717176</v>
      </c>
      <c r="E113" s="32">
        <v>166.69191919191923</v>
      </c>
      <c r="F113" s="32">
        <v>190.0757575757576</v>
      </c>
      <c r="G113" s="33"/>
      <c r="I113" s="32">
        <v>45.16363636363634</v>
      </c>
      <c r="J113" s="32">
        <v>101.55151515151515</v>
      </c>
      <c r="K113" s="32">
        <v>116.51717171717176</v>
      </c>
      <c r="L113" s="32">
        <v>166.69191919191923</v>
      </c>
      <c r="M113" s="32">
        <v>190.0757575757576</v>
      </c>
    </row>
    <row r="114" spans="1:13" ht="12.75">
      <c r="A114" t="s">
        <v>84</v>
      </c>
      <c r="B114" s="97">
        <f>IF(B113="","",B113*B106/2000)</f>
        <v>5.021916756134132</v>
      </c>
      <c r="C114" s="97">
        <f>IF(C113="","",C113*C106/2000)</f>
        <v>10.904798981367657</v>
      </c>
      <c r="D114" s="97">
        <f>IF(D113="","",D113*D106/2000)</f>
        <v>12.042311364926306</v>
      </c>
      <c r="E114" s="97">
        <f>IF(E113="","",E113*E106/2000)</f>
        <v>16.64751816368601</v>
      </c>
      <c r="F114" s="97">
        <f>IF(F113="","",F113*F106/2000)</f>
        <v>18.570421962459594</v>
      </c>
      <c r="G114" s="101"/>
      <c r="I114" s="97">
        <f>IF(I113="","",I113*I106/2000)</f>
        <v>4.99936339031984</v>
      </c>
      <c r="J114" s="97">
        <f>IF(J113="","",J113*J106/2000)</f>
        <v>10.862737352477888</v>
      </c>
      <c r="K114" s="97">
        <f>IF(K113="","",K113*K106/2000)</f>
        <v>12.005340414853283</v>
      </c>
      <c r="L114" s="97">
        <f>IF(L113="","",L113*L106/2000)</f>
        <v>16.592674835603077</v>
      </c>
      <c r="M114" s="97">
        <f>IF(M113="","",M113*M106/2000)</f>
        <v>18.49372156746075</v>
      </c>
    </row>
    <row r="116" spans="1:13" ht="12.75">
      <c r="A116" s="41" t="s">
        <v>121</v>
      </c>
      <c r="B116" s="41"/>
      <c r="C116" s="41"/>
      <c r="D116" s="41"/>
      <c r="E116" s="41"/>
      <c r="F116" s="41"/>
      <c r="I116" s="41"/>
      <c r="J116" s="41"/>
      <c r="K116" s="41"/>
      <c r="L116" s="41"/>
      <c r="M116" s="41"/>
    </row>
    <row r="117" spans="1:13" ht="12.75">
      <c r="A117" s="105" t="s">
        <v>127</v>
      </c>
      <c r="B117" s="37">
        <v>0.55</v>
      </c>
      <c r="C117" s="37">
        <v>0.55</v>
      </c>
      <c r="D117" s="37">
        <v>0.55</v>
      </c>
      <c r="E117" s="37">
        <v>0.55</v>
      </c>
      <c r="F117" s="37">
        <v>0.55</v>
      </c>
      <c r="I117" s="37">
        <v>0.55</v>
      </c>
      <c r="J117" s="37">
        <v>0.55</v>
      </c>
      <c r="K117" s="37">
        <v>0.55</v>
      </c>
      <c r="L117" s="37">
        <v>0.55</v>
      </c>
      <c r="M117" s="37">
        <v>0.55</v>
      </c>
    </row>
    <row r="118" spans="1:13" ht="12.75">
      <c r="A118" s="105" t="s">
        <v>132</v>
      </c>
      <c r="B118" s="37"/>
      <c r="C118" s="37"/>
      <c r="D118" s="37"/>
      <c r="E118" s="37"/>
      <c r="F118" s="37"/>
      <c r="I118" s="37"/>
      <c r="J118" s="37"/>
      <c r="K118" s="37"/>
      <c r="L118" s="37"/>
      <c r="M118" s="37"/>
    </row>
    <row r="119" spans="1:13" ht="12.75">
      <c r="A119" s="6" t="s">
        <v>133</v>
      </c>
      <c r="B119" s="37">
        <f>0.000000416*((B4+B5)/2)^2-0.000036654*((B4+B5)/2)+0.280606061</f>
        <v>0.27998115100000004</v>
      </c>
      <c r="C119" s="37">
        <f>0.000000416*((C4+C5)/2)^2-0.000036654*((C4+C5)/2)+0.280606061</f>
        <v>0.28110066100000003</v>
      </c>
      <c r="D119" s="37">
        <f>0.000000416*((D4+D5)/2)^2-0.000036654*((D4+D5)/2)+0.280606061</f>
        <v>0.284037631</v>
      </c>
      <c r="E119" s="37">
        <f>0.000000416*((E4+E5)/2)^2-0.000036654*((E4+E5)/2)+0.280606061</f>
        <v>0.289276931</v>
      </c>
      <c r="F119" s="37">
        <f>0.000000416*((F4+F5)/2)^2-0.000036654*((F4+F5)/2)+0.280606061</f>
        <v>0.29659623100000004</v>
      </c>
      <c r="I119" s="37">
        <f>0.000000416*((I4+I5)/2)^2-0.000036654*((I4+I5)/2)+0.280606061</f>
        <v>0.27998115100000004</v>
      </c>
      <c r="J119" s="37">
        <f>0.000000416*((J4+J5)/2)^2-0.000036654*((J4+J5)/2)+0.280606061</f>
        <v>0.28110066100000003</v>
      </c>
      <c r="K119" s="37">
        <f>0.000000416*((K4+K5)/2)^2-0.000036654*((K4+K5)/2)+0.280606061</f>
        <v>0.284037631</v>
      </c>
      <c r="L119" s="37">
        <f>0.000000416*((L4+L5)/2)^2-0.000036654*((L4+L5)/2)+0.280606061</f>
        <v>0.289276931</v>
      </c>
      <c r="M119" s="37">
        <f>0.000000416*((M4+M5)/2)^2-0.000036654*((M4+M5)/2)+0.280606061</f>
        <v>0.29618086600000004</v>
      </c>
    </row>
    <row r="120" spans="1:13" ht="12.75">
      <c r="A120" s="6" t="s">
        <v>128</v>
      </c>
      <c r="B120" s="37">
        <f>0.000002335*((B4+B5)/2)^2-0.000572488*((B4+B5)/2)+0.588523784</f>
        <v>0.5611774390000001</v>
      </c>
      <c r="C120" s="37">
        <f>0.000002335*((C4+C5)/2)^2-0.000572488*((C4+C5)/2)+0.588523784</f>
        <v>0.554624984</v>
      </c>
      <c r="D120" s="37">
        <f>0.000002335*((D4+D5)/2)^2-0.000572488*((D4+D5)/2)+0.588523784</f>
        <v>0.5546063990000001</v>
      </c>
      <c r="E120" s="37">
        <f>0.000002335*((E4+E5)/2)^2-0.000572488*((E4+E5)/2)+0.588523784</f>
        <v>0.565676999</v>
      </c>
      <c r="F120" s="37">
        <f>0.000002335*((F4+F5)/2)^2-0.000572488*((F4+F5)/2)+0.588523784</f>
        <v>0.588422599</v>
      </c>
      <c r="I120" s="37">
        <f>0.000002335*((I4+I5)/2)^2-0.000572488*((I4+I5)/2)+0.588523784</f>
        <v>0.5611774390000001</v>
      </c>
      <c r="J120" s="37">
        <f>0.000002335*((J4+J5)/2)^2-0.000572488*((J4+J5)/2)+0.588523784</f>
        <v>0.554624984</v>
      </c>
      <c r="K120" s="37">
        <f>0.000002335*((K4+K5)/2)^2-0.000572488*((K4+K5)/2)+0.588523784</f>
        <v>0.5546063990000001</v>
      </c>
      <c r="L120" s="37">
        <f>0.000002335*((L4+L5)/2)^2-0.000572488*((L4+L5)/2)+0.588523784</f>
        <v>0.565676999</v>
      </c>
      <c r="M120" s="37">
        <f>0.000002335*((M4+M5)/2)^2-0.000572488*((M4+M5)/2)+0.588523784</f>
        <v>0.5870080377500001</v>
      </c>
    </row>
    <row r="121" spans="1:13" ht="12.75">
      <c r="A121" s="6" t="s">
        <v>129</v>
      </c>
      <c r="B121" s="37">
        <f>0.00000268*((B4+B5)/2)^2-0.00064541*(B4+B5)/2+0.63872902</f>
        <v>0.60810037</v>
      </c>
      <c r="C121" s="37">
        <f>0.00000268*((C4+C5)/2)^2-0.00064541*(C4+C5)/2+0.63872902</f>
        <v>0.60098802</v>
      </c>
      <c r="D121" s="37">
        <f>0.00000268*((D4+D5)/2)^2-0.00064541*(D4+D5)/2+0.63872902</f>
        <v>0.60149157</v>
      </c>
      <c r="E121" s="37">
        <f>0.00000268*((E4+E5)/2)^2-0.00064541*(E4+E5)/2+0.63872902</f>
        <v>0.61478107</v>
      </c>
      <c r="F121" s="37">
        <f>0.00000268*((F4+F5)/2)^2-0.00064541*(F4+F5)/2+0.63872902</f>
        <v>0.64147057</v>
      </c>
      <c r="I121" s="37">
        <f>0.00000268*((I4+I5)/2)^2-0.00064541*(I4+I5)/2+0.63872902</f>
        <v>0.60810037</v>
      </c>
      <c r="J121" s="37">
        <f>0.00000268*((J4+J5)/2)^2-0.00064541*(J4+J5)/2+0.63872902</f>
        <v>0.60098802</v>
      </c>
      <c r="K121" s="37">
        <f>0.00000268*((K4+K5)/2)^2-0.00064541*(K4+K5)/2+0.63872902</f>
        <v>0.60149157</v>
      </c>
      <c r="L121" s="37">
        <f>0.00000268*((L4+L5)/2)^2-0.00064541*(L4+L5)/2+0.63872902</f>
        <v>0.61478107</v>
      </c>
      <c r="M121" s="37">
        <f>0.00000268*((M4+M5)/2)^2-0.00064541*(M4+M5)/2+0.63872902</f>
        <v>0.639817845</v>
      </c>
    </row>
    <row r="122" spans="1:13" ht="12.75">
      <c r="A122" s="6" t="s">
        <v>130</v>
      </c>
      <c r="B122" s="37">
        <v>0.165</v>
      </c>
      <c r="C122" s="37">
        <v>0.165</v>
      </c>
      <c r="D122" s="37">
        <v>0.165</v>
      </c>
      <c r="E122" s="37">
        <v>0.165</v>
      </c>
      <c r="F122" s="37">
        <v>0.165</v>
      </c>
      <c r="I122" s="37">
        <v>0.165</v>
      </c>
      <c r="J122" s="37">
        <v>0.165</v>
      </c>
      <c r="K122" s="37">
        <v>0.165</v>
      </c>
      <c r="L122" s="37">
        <v>0.165</v>
      </c>
      <c r="M122" s="37">
        <v>0.165</v>
      </c>
    </row>
    <row r="123" spans="1:13" ht="12.75">
      <c r="A123" s="6" t="s">
        <v>131</v>
      </c>
      <c r="B123" s="37">
        <v>0.65</v>
      </c>
      <c r="C123" s="37">
        <v>0.65</v>
      </c>
      <c r="D123" s="37">
        <v>0.65</v>
      </c>
      <c r="E123" s="37">
        <v>0.65</v>
      </c>
      <c r="F123" s="37">
        <v>0.65</v>
      </c>
      <c r="I123" s="37">
        <v>0.65</v>
      </c>
      <c r="J123" s="37">
        <v>0.65</v>
      </c>
      <c r="K123" s="37">
        <v>0.65</v>
      </c>
      <c r="L123" s="37">
        <v>0.65</v>
      </c>
      <c r="M123" s="37">
        <v>0.65</v>
      </c>
    </row>
    <row r="124" spans="1:13" ht="12.75">
      <c r="A124" s="39" t="s">
        <v>125</v>
      </c>
      <c r="B124" s="100">
        <f>IF(AVERAGE(B4:B5)&lt;51,0.000025*((B5+B4)/2)^2-0.01005*((B5+B4)/2)+1.5955,(0.00000649518*((B4+B5)/2)^2-0.00338103746*((B4+B5)/2)+1.049852))</f>
        <v>0.8575267006</v>
      </c>
      <c r="C124" s="100">
        <f>IF(AVERAGE(C4:C5)&lt;51,0.000025*((C5+C4)/2)^2-0.01005*((C5+C4)/2)+1.5955,(0.00000649518*((C4+C5)/2)^2-0.00338103746*((C4+C5)/2)+1.049852))</f>
        <v>0.776700054</v>
      </c>
      <c r="D124" s="100">
        <f>IF(AVERAGE(D4:D5)&lt;51,0.000025*((D5+D4)/2)^2-0.01005*((D5+D4)/2)+1.5955,(0.00000649518*((D4+D5)/2)^2-0.00338103746*((D4+D5)/2)+1.049852))</f>
        <v>0.6961627278</v>
      </c>
      <c r="E124" s="100">
        <f>IF(AVERAGE(E4:E5)&lt;51,0.000025*((E5+E4)/2)^2-0.01005*((E5+E4)/2)+1.5955,(0.00000649518*((E4+E5)/2)^2-0.00338103746*((E4+E5)/2)+1.049852))</f>
        <v>0.6375289148000001</v>
      </c>
      <c r="F124" s="100">
        <f>IF(AVERAGE(F4:F5)&lt;51,0.000025*((F5+F4)/2)^2-0.01005*((F5+F4)/2)+1.5955,(0.00000649518*((F4+F5)/2)^2-0.00338103746*((F4+F5)/2)+1.049852))</f>
        <v>0.6113710018</v>
      </c>
      <c r="I124" s="100">
        <f>IF(AVERAGE(I4:I5)&lt;51,0.000025*((I5+I4)/2)^2-0.01005*((I5+I4)/2)+1.5955,(0.00000649518*((I4+I5)/2)^2-0.00338103746*((I4+I5)/2)+1.049852))</f>
        <v>0.8575267006</v>
      </c>
      <c r="J124" s="100">
        <f>IF(AVERAGE(J4:J5)&lt;51,0.000025*((J5+J4)/2)^2-0.01005*((J5+J4)/2)+1.5955,(0.00000649518*((J4+J5)/2)^2-0.00338103746*((J4+J5)/2)+1.049852))</f>
        <v>0.776700054</v>
      </c>
      <c r="K124" s="100">
        <f>IF(AVERAGE(K4:K5)&lt;51,0.000025*((K5+K4)/2)^2-0.01005*((K5+K4)/2)+1.5955,(0.00000649518*((K4+K5)/2)^2-0.00338103746*((K4+K5)/2)+1.049852))</f>
        <v>0.6961627278</v>
      </c>
      <c r="L124" s="100">
        <f>IF(AVERAGE(L4:L5)&lt;51,0.000025*((L5+L4)/2)^2-0.01005*((L5+L4)/2)+1.5955,(0.00000649518*((L4+L5)/2)^2-0.00338103746*((L4+L5)/2)+1.049852))</f>
        <v>0.6375289148000001</v>
      </c>
      <c r="M124" s="100">
        <f>IF(AVERAGE(M4:M5)&lt;51,0.000025*((M5+M4)/2)^2-0.01005*((M5+M4)/2)+1.5955,(0.00000649518*((M4+M5)/2)^2-0.00338103746*((M4+M5)/2)+1.049852))</f>
        <v>0.6119075948250001</v>
      </c>
    </row>
    <row r="125" spans="1:13" ht="12.75">
      <c r="A125" s="39" t="s">
        <v>126</v>
      </c>
      <c r="B125" s="100">
        <f>IF(AVERAGE(B4:B5)&lt;51,0.000025*((B5+B4)/2)^2-0.01005*((B5+B4)/2)+1.5955,0.00000649518*((B5+B4)/2)^2-0.00338103746*((B5+B4)/2)+1.3529)</f>
        <v>1.1605747006</v>
      </c>
      <c r="C125" s="100">
        <f>IF(AVERAGE(C4:C5)&lt;51,0.000025*((C5+C4)/2)^2-0.01005*((C5+C4)/2)+1.5955,0.00000649518*((C5+C4)/2)^2-0.00338103746*((C5+C4)/2)+1.3529)</f>
        <v>1.079748054</v>
      </c>
      <c r="D125" s="100">
        <f>IF(AVERAGE(D4:D5)&lt;51,0.000025*((D5+D4)/2)^2-0.01005*((D5+D4)/2)+1.5955,0.00000649518*((D5+D4)/2)^2-0.00338103746*((D5+D4)/2)+1.3529)</f>
        <v>0.9992107278</v>
      </c>
      <c r="E125" s="100">
        <f>IF(AVERAGE(E4:E5)&lt;51,0.000025*((E5+E4)/2)^2-0.01005*((E5+E4)/2)+1.5955,0.00000649518*((E5+E4)/2)^2-0.00338103746*((E5+E4)/2)+1.3529)</f>
        <v>0.9405769148</v>
      </c>
      <c r="F125" s="100">
        <f>IF(AVERAGE(F4:F5)&lt;51,0.000025*((F5+F4)/2)^2-0.01005*((F5+F4)/2)+1.5955,0.00000649518*((F5+F4)/2)^2-0.00338103746*((F5+F4)/2)+1.3529)</f>
        <v>0.9144190018</v>
      </c>
      <c r="I125" s="100">
        <f>IF(AVERAGE(I4:I5)&lt;51,0.000025*((I5+I4)/2)^2-0.01005*((I5+I4)/2)+1.5955,0.00000649518*((I5+I4)/2)^2-0.00338103746*((I5+I4)/2)+1.3529)</f>
        <v>1.1605747006</v>
      </c>
      <c r="J125" s="100">
        <f>IF(AVERAGE(J4:J5)&lt;51,0.000025*((J5+J4)/2)^2-0.01005*((J5+J4)/2)+1.5955,0.00000649518*((J5+J4)/2)^2-0.00338103746*((J5+J4)/2)+1.3529)</f>
        <v>1.079748054</v>
      </c>
      <c r="K125" s="100">
        <f>IF(AVERAGE(K4:K5)&lt;51,0.000025*((K5+K4)/2)^2-0.01005*((K5+K4)/2)+1.5955,0.00000649518*((K5+K4)/2)^2-0.00338103746*((K5+K4)/2)+1.3529)</f>
        <v>0.9992107278</v>
      </c>
      <c r="L125" s="100">
        <f>IF(AVERAGE(L4:L5)&lt;51,0.000025*((L5+L4)/2)^2-0.01005*((L5+L4)/2)+1.5955,0.00000649518*((L5+L4)/2)^2-0.00338103746*((L5+L4)/2)+1.3529)</f>
        <v>0.9405769148</v>
      </c>
      <c r="M125" s="100">
        <f>IF(AVERAGE(M4:M5)&lt;51,0.000025*((M5+M4)/2)^2-0.01005*((M5+M4)/2)+1.5955,0.00000649518*((M5+M4)/2)^2-0.00338103746*((M5+M4)/2)+1.3529)</f>
        <v>0.9149555948250001</v>
      </c>
    </row>
    <row r="126" spans="1:13" ht="12.75">
      <c r="A126" s="39" t="s">
        <v>124</v>
      </c>
      <c r="B126" s="100">
        <f>B124*(B94*2.2046)/10000</f>
        <v>0.2860997692032402</v>
      </c>
      <c r="C126" s="100">
        <f>C124*(C94*2.2046)/10000</f>
        <v>0.25954738662516086</v>
      </c>
      <c r="D126" s="100">
        <f>D124*(D94*2.2046)/10000</f>
        <v>0.23312480824129975</v>
      </c>
      <c r="E126" s="100">
        <f>E124*(E94*2.2046)/10000</f>
        <v>0.21371068353144915</v>
      </c>
      <c r="F126" s="100">
        <f>F124*(F94*2.2046)/10000</f>
        <v>0.20501015986837637</v>
      </c>
      <c r="I126" s="100">
        <f>I124*(I94*2.2046)/10000</f>
        <v>0.28625506131548895</v>
      </c>
      <c r="J126" s="100">
        <f>J124*(J94*2.2046)/10000</f>
        <v>0.25967567751308795</v>
      </c>
      <c r="K126" s="100">
        <f>K124*(K94*2.2046)/10000</f>
        <v>0.23328829244804375</v>
      </c>
      <c r="L126" s="100">
        <f>L124*(L94*2.2046)/10000</f>
        <v>0.21380583827056954</v>
      </c>
      <c r="M126" s="100">
        <f>M124*(M94*2.2046)/10000</f>
        <v>0.2053314783830787</v>
      </c>
    </row>
    <row r="127" spans="1:13" ht="12.75">
      <c r="A127" s="39" t="s">
        <v>123</v>
      </c>
      <c r="B127" s="98">
        <f>B125*(B94*2.2046)/10000</f>
        <v>0.3872067817275608</v>
      </c>
      <c r="C127" s="98">
        <f>C125*(C94*2.2046)/10000</f>
        <v>0.3608159728920311</v>
      </c>
      <c r="D127" s="98">
        <f>D125*(D94*2.2046)/10000</f>
        <v>0.3346068383281013</v>
      </c>
      <c r="E127" s="98">
        <f>E125*(E94*2.2046)/10000</f>
        <v>0.3152975978177697</v>
      </c>
      <c r="F127" s="98">
        <f>F125*(F94*2.2046)/10000</f>
        <v>0.30663081041423895</v>
      </c>
      <c r="I127" s="98">
        <f>I125*(I94*2.2046)/10000</f>
        <v>0.3874169537216836</v>
      </c>
      <c r="J127" s="98">
        <f>J125*(J94*2.2046)/10000</f>
        <v>0.3609943195213017</v>
      </c>
      <c r="K127" s="98">
        <f>K125*(K94*2.2046)/10000</f>
        <v>0.3348414891743491</v>
      </c>
      <c r="L127" s="98">
        <f>L125*(L94*2.2046)/10000</f>
        <v>0.31543798415770313</v>
      </c>
      <c r="M127" s="98">
        <f>M125*(M94*2.2046)/10000</f>
        <v>0.30702214930673516</v>
      </c>
    </row>
    <row r="128" spans="1:13" ht="12.75">
      <c r="A128" s="39" t="s">
        <v>139</v>
      </c>
      <c r="B128" s="98">
        <v>1</v>
      </c>
      <c r="C128" s="98">
        <v>1</v>
      </c>
      <c r="D128" s="98">
        <v>1</v>
      </c>
      <c r="E128" s="98">
        <v>1</v>
      </c>
      <c r="F128" s="98">
        <v>1</v>
      </c>
      <c r="I128" s="98">
        <v>1</v>
      </c>
      <c r="J128" s="98">
        <v>1</v>
      </c>
      <c r="K128" s="98">
        <v>1</v>
      </c>
      <c r="L128" s="98">
        <v>1</v>
      </c>
      <c r="M128" s="98">
        <v>1</v>
      </c>
    </row>
    <row r="129" spans="1:13" ht="12.75">
      <c r="A129" s="39" t="s">
        <v>140</v>
      </c>
      <c r="B129" s="98">
        <v>1.25</v>
      </c>
      <c r="C129" s="98">
        <v>1.25</v>
      </c>
      <c r="D129" s="98">
        <v>1.25</v>
      </c>
      <c r="E129" s="98">
        <v>1.25</v>
      </c>
      <c r="F129" s="98">
        <v>1.25</v>
      </c>
      <c r="I129" s="98">
        <v>1.25</v>
      </c>
      <c r="J129" s="98">
        <v>1.25</v>
      </c>
      <c r="K129" s="98">
        <v>1.25</v>
      </c>
      <c r="L129" s="98">
        <v>1.25</v>
      </c>
      <c r="M129" s="98">
        <v>1.25</v>
      </c>
    </row>
    <row r="130" spans="1:13" ht="12.75">
      <c r="A130" s="39" t="s">
        <v>141</v>
      </c>
      <c r="B130" s="98">
        <v>7</v>
      </c>
      <c r="C130" s="98">
        <v>7</v>
      </c>
      <c r="D130" s="98">
        <v>7</v>
      </c>
      <c r="E130" s="98">
        <v>7</v>
      </c>
      <c r="F130" s="98">
        <v>7</v>
      </c>
      <c r="I130" s="98">
        <v>7</v>
      </c>
      <c r="J130" s="98">
        <v>7</v>
      </c>
      <c r="K130" s="98">
        <v>7</v>
      </c>
      <c r="L130" s="98">
        <v>7</v>
      </c>
      <c r="M130" s="98">
        <v>7</v>
      </c>
    </row>
    <row r="131" spans="1:13" ht="12.75">
      <c r="A131" s="39"/>
      <c r="B131" s="98"/>
      <c r="C131" s="98"/>
      <c r="D131" s="98"/>
      <c r="E131" s="98"/>
      <c r="F131" s="98"/>
      <c r="G131" s="98"/>
      <c r="I131" s="98"/>
      <c r="J131" s="98"/>
      <c r="K131" s="98"/>
      <c r="L131" s="98"/>
      <c r="M131" s="98"/>
    </row>
    <row r="132" spans="1:13" ht="12.75">
      <c r="A132" s="39"/>
      <c r="B132" s="98"/>
      <c r="C132" s="98"/>
      <c r="D132" s="98"/>
      <c r="E132" s="98"/>
      <c r="F132" s="98"/>
      <c r="G132" s="98"/>
      <c r="I132" s="98"/>
      <c r="J132" s="98"/>
      <c r="K132" s="98"/>
      <c r="L132" s="98"/>
      <c r="M132" s="98"/>
    </row>
    <row r="133" spans="1:13" ht="12.75">
      <c r="A133" s="39"/>
      <c r="B133" s="98"/>
      <c r="C133" s="98"/>
      <c r="D133" s="98"/>
      <c r="E133" s="98"/>
      <c r="F133" s="98"/>
      <c r="G133" s="98"/>
      <c r="I133" s="98"/>
      <c r="J133" s="98"/>
      <c r="K133" s="98"/>
      <c r="L133" s="98"/>
      <c r="M133" s="98"/>
    </row>
    <row r="134" spans="1:13" ht="12.75">
      <c r="A134" s="39"/>
      <c r="B134" s="98"/>
      <c r="C134" s="98"/>
      <c r="D134" s="98"/>
      <c r="E134" s="98"/>
      <c r="F134" s="98"/>
      <c r="G134" s="98"/>
      <c r="I134" s="98"/>
      <c r="J134" s="98"/>
      <c r="K134" s="98"/>
      <c r="L134" s="98"/>
      <c r="M134" s="98"/>
    </row>
    <row r="135" spans="2:13" ht="12.75">
      <c r="B135" s="98"/>
      <c r="C135" s="98"/>
      <c r="D135" s="98"/>
      <c r="E135" s="98"/>
      <c r="F135" s="98"/>
      <c r="G135" s="98"/>
      <c r="I135" s="98"/>
      <c r="J135" s="98"/>
      <c r="K135" s="98"/>
      <c r="L135" s="98"/>
      <c r="M135" s="98"/>
    </row>
    <row r="136" spans="1:13" ht="12.75">
      <c r="A136" s="41" t="s">
        <v>122</v>
      </c>
      <c r="B136" s="16"/>
      <c r="C136" s="16"/>
      <c r="D136" s="16"/>
      <c r="E136" s="16"/>
      <c r="F136" s="16"/>
      <c r="G136" s="16"/>
      <c r="I136" s="16"/>
      <c r="J136" s="16"/>
      <c r="K136" s="16"/>
      <c r="L136" s="16"/>
      <c r="M136" s="16"/>
    </row>
    <row r="137" spans="1:13" ht="12.75">
      <c r="A137" s="6" t="s">
        <v>107</v>
      </c>
      <c r="B137" s="91">
        <f>SUMPRODUCT(B$8:B$79,Nutrients!$AY$8:$AY$79)/2000</f>
        <v>0.11789999999999999</v>
      </c>
      <c r="C137" s="91">
        <f>SUMPRODUCT(C$8:C$79,Nutrients!$AY$8:$AY$79)/2000</f>
        <v>0.11789999999999999</v>
      </c>
      <c r="D137" s="91">
        <f>SUMPRODUCT(D$8:D$79,Nutrients!$AY$8:$AY$79)/2000</f>
        <v>0.11789999999999999</v>
      </c>
      <c r="E137" s="91">
        <f>SUMPRODUCT(E$8:E$79,Nutrients!$AY$8:$AY$79)/2000</f>
        <v>0.11789999999999999</v>
      </c>
      <c r="F137" s="91">
        <f>SUMPRODUCT(F$8:F$79,Nutrients!$AY$8:$AY$79)/2000</f>
        <v>0.11789999999999999</v>
      </c>
      <c r="G137" s="29"/>
      <c r="I137" s="91">
        <f>SUMPRODUCT(I$8:I$79,Nutrients!$AY$8:$AY$79)/2000</f>
        <v>0.17814</v>
      </c>
      <c r="J137" s="91">
        <f>SUMPRODUCT(J$8:J$79,Nutrients!$AY$8:$AY$79)/2000</f>
        <v>0.1681</v>
      </c>
      <c r="K137" s="91">
        <f>SUMPRODUCT(K$8:K$79,Nutrients!$AY$8:$AY$79)/2000</f>
        <v>0.15806</v>
      </c>
      <c r="L137" s="91">
        <f>SUMPRODUCT(L$8:L$79,Nutrients!$AY$8:$AY$79)/2000</f>
        <v>0.15806</v>
      </c>
      <c r="M137" s="91">
        <f>SUMPRODUCT(M$8:M$79,Nutrients!$AY$8:$AY$79)/2000</f>
        <v>0.161072</v>
      </c>
    </row>
    <row r="138" spans="1:13" ht="12.75">
      <c r="A138" t="s">
        <v>119</v>
      </c>
      <c r="B138" s="95">
        <f>IF(B$4="","",B85/(B94*2.2046)*10000)</f>
        <v>3.495890055041993</v>
      </c>
      <c r="C138" s="95">
        <f>IF(C$4="","",C85/(C94*2.2046)*10000)</f>
        <v>3.0963716222246114</v>
      </c>
      <c r="D138" s="95">
        <f>IF(D$4="","",D85/(D94*2.2046)*10000)</f>
        <v>2.696802872714115</v>
      </c>
      <c r="E138" s="95">
        <f>IF(E$4="","",E85/(E94*2.2046)*10000)</f>
        <v>2.3339911840466865</v>
      </c>
      <c r="F138" s="95">
        <f>IF(F$4="","",F85/(F94*2.2046)*10000)</f>
        <v>2.1041485379815352</v>
      </c>
      <c r="G138" s="95"/>
      <c r="I138" s="95">
        <f>IF(I$4="","",I85/(I94*2.2046)*10000)</f>
        <v>3.519384298349542</v>
      </c>
      <c r="J138" s="95">
        <f>IF(J$4="","",J85/(J94*2.2046)*10000)</f>
        <v>3.1159727729762245</v>
      </c>
      <c r="K138" s="95">
        <f>IF(K$4="","",K85/(K94*2.2046)*10000)</f>
        <v>2.7118122076602034</v>
      </c>
      <c r="L138" s="95">
        <f>IF(L$4="","",L85/(L94*2.2046)*10000)</f>
        <v>2.349810588305784</v>
      </c>
      <c r="M138" s="95">
        <f>IF(M$4="","",M85/(M94*2.2046)*10000)</f>
        <v>2.1208348095071066</v>
      </c>
    </row>
    <row r="139" spans="1:13" ht="12.75">
      <c r="A139" t="s">
        <v>120</v>
      </c>
      <c r="B139" s="95">
        <f>IF(B$4="","",B84/(B95*2.2046)*10000)</f>
        <v>4.3206831242946935</v>
      </c>
      <c r="C139" s="95">
        <f>IF(C$4="","",C84/(C95*2.2046)*10000)</f>
        <v>3.769347647933871</v>
      </c>
      <c r="D139" s="95">
        <f>IF(D$4="","",D84/(D95*2.2046)*10000)</f>
        <v>3.231271330257318</v>
      </c>
      <c r="E139" s="95">
        <f>IF(E$4="","",E84/(E95*2.2046)*10000)</f>
        <v>2.7538489210650936</v>
      </c>
      <c r="F139" s="95">
        <f>IF(F$4="","",F84/(F95*2.2046)*10000)</f>
        <v>2.456735610817871</v>
      </c>
      <c r="G139" s="95"/>
      <c r="I139" s="95">
        <f>IF(I$4="","",I84/(I95*2.2046)*10000)</f>
        <v>4.293449615653899</v>
      </c>
      <c r="J139" s="95">
        <f>IF(J$4="","",J84/(J95*2.2046)*10000)</f>
        <v>3.7496284113531146</v>
      </c>
      <c r="K139" s="95">
        <f>IF(K$4="","",K84/(K95*2.2046)*10000)</f>
        <v>3.216875622855549</v>
      </c>
      <c r="L139" s="95">
        <f>IF(L$4="","",L84/(L95*2.2046)*10000)</f>
        <v>2.7424615763804563</v>
      </c>
      <c r="M139" s="95">
        <f>IF(M$4="","",M84/(M95*2.2046)*10000)</f>
        <v>2.4453585463496266</v>
      </c>
    </row>
    <row r="140" spans="1:13" ht="12.75">
      <c r="A140" t="s">
        <v>138</v>
      </c>
      <c r="B140" s="95">
        <f>B85/B99*100</f>
        <v>6.016637016205967</v>
      </c>
      <c r="C140" s="95">
        <f>C85/C99*100</f>
        <v>5.8864232036163795</v>
      </c>
      <c r="D140" s="95">
        <f>D85/D99*100</f>
        <v>5.725491943020645</v>
      </c>
      <c r="E140" s="95">
        <f>E85/E99*100</f>
        <v>5.543462543617256</v>
      </c>
      <c r="F140" s="95">
        <f>F85/F99*100</f>
        <v>5.404165366305</v>
      </c>
      <c r="G140" s="95"/>
      <c r="I140" s="95">
        <f>I85/I99*100</f>
        <v>5.899006203128211</v>
      </c>
      <c r="J140" s="95">
        <f>J85/J99*100</f>
        <v>5.781212915631576</v>
      </c>
      <c r="K140" s="95">
        <f>K85/K99*100</f>
        <v>5.6344718103659455</v>
      </c>
      <c r="L140" s="95">
        <f>L85/L99*100</f>
        <v>5.446921931394145</v>
      </c>
      <c r="M140" s="95">
        <f>M85/M99*100</f>
        <v>5.295981027967913</v>
      </c>
    </row>
    <row r="141" spans="1:13" ht="12.75">
      <c r="A141" t="s">
        <v>142</v>
      </c>
      <c r="B141" s="94">
        <f>(SUMPRODUCT(B$8:B$79,Nutrients!$W$8:$W$79)+(IF($A$6=Nutrients!$A$8,Nutrients!$W$8,Nutrients!$W$9)*B$6)+(((IF($A$7=Nutrients!$A$19,Nutrients!$W$19,(IF($A$7=Nutrients!$A$20,Nutrients!$W$20,Nutrients!$W$21)))))*B$7))/2000</f>
        <v>3.1194942748091603</v>
      </c>
      <c r="C141" s="94">
        <f>(SUMPRODUCT(C$8:C$79,Nutrients!$W$8:$W$79)+(IF($A$6=Nutrients!$A$8,Nutrients!$W$8,Nutrients!$W$9)*C$6)+(((IF($A$7=Nutrients!$A$19,Nutrients!$W$19,(IF($A$7=Nutrients!$A$20,Nutrients!$W$20,Nutrients!$W$21)))))*C$7))/2000</f>
        <v>3.238091603053435</v>
      </c>
      <c r="D141" s="94">
        <f>(SUMPRODUCT(D$8:D$79,Nutrients!$W$8:$W$79)+(IF($A$6=Nutrients!$A$8,Nutrients!$W$8,Nutrients!$W$9)*D$6)+(((IF($A$7=Nutrients!$A$19,Nutrients!$W$19,(IF($A$7=Nutrients!$A$20,Nutrients!$W$20,Nutrients!$W$21)))))*D$7))/2000</f>
        <v>3.3587356870229006</v>
      </c>
      <c r="E141" s="94">
        <f>(SUMPRODUCT(E$8:E$79,Nutrients!$W$8:$W$79)+(IF($A$6=Nutrients!$A$8,Nutrients!$W$8,Nutrients!$W$9)*E$6)+(((IF($A$7=Nutrients!$A$19,Nutrients!$W$19,(IF($A$7=Nutrients!$A$20,Nutrients!$W$20,Nutrients!$W$21)))))*E$7))/2000</f>
        <v>3.46574427480916</v>
      </c>
      <c r="F141" s="94">
        <f>(SUMPRODUCT(F$8:F$79,Nutrients!$W$8:$W$79)+(IF($A$6=Nutrients!$A$8,Nutrients!$W$8,Nutrients!$W$9)*F$6)+(((IF($A$7=Nutrients!$A$19,Nutrients!$W$19,(IF($A$7=Nutrients!$A$20,Nutrients!$W$20,Nutrients!$W$21)))))*F$7))/2000</f>
        <v>3.5325381679389305</v>
      </c>
      <c r="G141" s="94"/>
      <c r="I141" s="94">
        <f>(SUMPRODUCT(I$8:I$79,Nutrients!$W$8:$W$79)+(IF($A$6=Nutrients!$A$8,Nutrients!$W$8,Nutrients!$W$9)*I$6)+(((IF($A$7=Nutrients!$A$19,Nutrients!$W$19,(IF($A$7=Nutrients!$A$20,Nutrients!$W$20,Nutrients!$W$21)))))*I$7))/2000</f>
        <v>3.425175095419847</v>
      </c>
      <c r="J141" s="94">
        <f>(SUMPRODUCT(J$8:J$79,Nutrients!$W$8:$W$79)+(IF($A$6=Nutrients!$A$8,Nutrients!$W$8,Nutrients!$W$9)*J$6)+(((IF($A$7=Nutrients!$A$19,Nutrients!$W$19,(IF($A$7=Nutrients!$A$20,Nutrients!$W$20,Nutrients!$W$21)))))*J$7))/2000</f>
        <v>3.492996183206106</v>
      </c>
      <c r="K141" s="94">
        <f>(SUMPRODUCT(K$8:K$79,Nutrients!$W$8:$W$79)+(IF($A$6=Nutrients!$A$8,Nutrients!$W$8,Nutrients!$W$9)*K$6)+(((IF($A$7=Nutrients!$A$19,Nutrients!$W$19,(IF($A$7=Nutrients!$A$20,Nutrients!$W$20,Nutrients!$W$21)))))*K$7))/2000</f>
        <v>3.5638874045801527</v>
      </c>
      <c r="L141" s="94">
        <f>(SUMPRODUCT(L$8:L$79,Nutrients!$W$8:$W$79)+(IF($A$6=Nutrients!$A$8,Nutrients!$W$8,Nutrients!$W$9)*L$6)+(((IF($A$7=Nutrients!$A$19,Nutrients!$W$19,(IF($A$7=Nutrients!$A$20,Nutrients!$W$20,Nutrients!$W$21)))))*L$7))/2000</f>
        <v>3.669872614503816</v>
      </c>
      <c r="M141" s="94">
        <f>(SUMPRODUCT(M$8:M$79,Nutrients!$W$8:$W$79)+(IF($A$6=Nutrients!$A$8,Nutrients!$W$8,Nutrients!$W$9)*M$6)+(((IF($A$7=Nutrients!$A$19,Nutrients!$W$19,(IF($A$7=Nutrients!$A$20,Nutrients!$W$20,Nutrients!$W$21)))))*M$7))/2000</f>
        <v>3.7528204198473283</v>
      </c>
    </row>
    <row r="142" spans="1:13" ht="12.75">
      <c r="A142" t="s">
        <v>135</v>
      </c>
      <c r="B142" s="94">
        <f>(SUMPRODUCT(B$8:B$79,Nutrients!$Y$8:$Y$79)+(IF($A$6=Nutrients!$A$8,Nutrients!$Y$8,Nutrients!$Y$9)*B$6)+(((IF($A$7=Nutrients!$A$19,Nutrients!$Y$19,(IF($A$7=Nutrients!$A$20,Nutrients!$Y$20,Nutrients!$Y$21)))))*B$7))/2000</f>
        <v>2.638720722010178</v>
      </c>
      <c r="C142" s="94">
        <f>(SUMPRODUCT(C$8:C$79,Nutrients!$Y$8:$Y$79)+(IF($A$6=Nutrients!$A$8,Nutrients!$Y$8,Nutrients!$Y$9)*C$6)+(((IF($A$7=Nutrients!$A$19,Nutrients!$Y$19,(IF($A$7=Nutrients!$A$20,Nutrients!$Y$20,Nutrients!$Y$21)))))*C$7))/2000</f>
        <v>2.5596767811704835</v>
      </c>
      <c r="D142" s="94">
        <f>(SUMPRODUCT(D$8:D$79,Nutrients!$Y$8:$Y$79)+(IF($A$6=Nutrients!$A$8,Nutrients!$Y$8,Nutrients!$Y$9)*D$6)+(((IF($A$7=Nutrients!$A$19,Nutrients!$Y$19,(IF($A$7=Nutrients!$A$20,Nutrients!$Y$20,Nutrients!$Y$21)))))*D$7))/2000</f>
        <v>2.4816643050254457</v>
      </c>
      <c r="E142" s="94">
        <f>(SUMPRODUCT(E$8:E$79,Nutrients!$Y$8:$Y$79)+(IF($A$6=Nutrients!$A$8,Nutrients!$Y$8,Nutrients!$Y$9)*E$6)+(((IF($A$7=Nutrients!$A$19,Nutrients!$Y$19,(IF($A$7=Nutrients!$A$20,Nutrients!$Y$20,Nutrients!$Y$21)))))*E$7))/2000</f>
        <v>2.4083478053435114</v>
      </c>
      <c r="F142" s="94">
        <f>(SUMPRODUCT(F$8:F$79,Nutrients!$Y$8:$Y$79)+(IF($A$6=Nutrients!$A$8,Nutrients!$Y$8,Nutrients!$Y$9)*F$6)+(((IF($A$7=Nutrients!$A$19,Nutrients!$Y$19,(IF($A$7=Nutrients!$A$20,Nutrients!$Y$20,Nutrients!$Y$21)))))*F$7))/2000</f>
        <v>2.3610354643765903</v>
      </c>
      <c r="G142" s="94"/>
      <c r="I142" s="94">
        <f>(SUMPRODUCT(I$8:I$79,Nutrients!$Y$8:$Y$79)+(IF($A$6=Nutrients!$A$8,Nutrients!$Y$8,Nutrients!$Y$9)*I$6)+(((IF($A$7=Nutrients!$A$19,Nutrients!$Y$19,(IF($A$7=Nutrients!$A$20,Nutrients!$Y$20,Nutrients!$Y$21)))))*I$7))/2000</f>
        <v>2.558293682410942</v>
      </c>
      <c r="J142" s="94">
        <f>(SUMPRODUCT(J$8:J$79,Nutrients!$Y$8:$Y$79)+(IF($A$6=Nutrients!$A$8,Nutrients!$Y$8,Nutrients!$Y$9)*J$6)+(((IF($A$7=Nutrients!$A$19,Nutrients!$Y$19,(IF($A$7=Nutrients!$A$20,Nutrients!$Y$20,Nutrients!$Y$21)))))*J$7))/2000</f>
        <v>2.492740203562341</v>
      </c>
      <c r="K142" s="94">
        <f>(SUMPRODUCT(K$8:K$79,Nutrients!$Y$8:$Y$79)+(IF($A$6=Nutrients!$A$8,Nutrients!$Y$8,Nutrients!$Y$9)*K$6)+(((IF($A$7=Nutrients!$A$19,Nutrients!$Y$19,(IF($A$7=Nutrients!$A$20,Nutrients!$Y$20,Nutrients!$Y$21)))))*K$7))/2000</f>
        <v>2.4287339217557253</v>
      </c>
      <c r="L142" s="94">
        <f>(SUMPRODUCT(L$8:L$79,Nutrients!$Y$8:$Y$79)+(IF($A$6=Nutrients!$A$8,Nutrients!$Y$8,Nutrients!$Y$9)*L$6)+(((IF($A$7=Nutrients!$A$19,Nutrients!$Y$19,(IF($A$7=Nutrients!$A$20,Nutrients!$Y$20,Nutrients!$Y$21)))))*L$7))/2000</f>
        <v>2.354901689726464</v>
      </c>
      <c r="M142" s="94">
        <f>(SUMPRODUCT(M$8:M$79,Nutrients!$Y$8:$Y$79)+(IF($A$6=Nutrients!$A$8,Nutrients!$Y$8,Nutrients!$Y$9)*M$6)+(((IF($A$7=Nutrients!$A$19,Nutrients!$Y$19,(IF($A$7=Nutrients!$A$20,Nutrients!$Y$20,Nutrients!$Y$21)))))*M$7))/2000</f>
        <v>2.304006369274809</v>
      </c>
    </row>
    <row r="143" spans="1:13" ht="12.75">
      <c r="A143" t="s">
        <v>136</v>
      </c>
      <c r="B143" s="94">
        <f>(SUMPRODUCT(B$8:B$79,Nutrients!$Z$8:$Z$79)+(IF($A$6=Nutrients!$A$8,Nutrients!$Z$8,Nutrients!$Z$9)*B$6)+(((IF($A$7=Nutrients!$A$19,Nutrients!$Z$19,(IF($A$7=Nutrients!$A$20,Nutrients!$Z$20,Nutrients!$Z$21)))))*B$7))/2000</f>
        <v>0</v>
      </c>
      <c r="C143" s="94">
        <f>(SUMPRODUCT(C$8:C$79,Nutrients!$Z$8:$Z$79)+(IF($A$6=Nutrients!$A$8,Nutrients!$Z$8,Nutrients!$Z$9)*C$6)+(((IF($A$7=Nutrients!$A$19,Nutrients!$Z$19,(IF($A$7=Nutrients!$A$20,Nutrients!$Z$20,Nutrients!$Z$21)))))*C$7))/2000</f>
        <v>0</v>
      </c>
      <c r="D143" s="94">
        <f>(SUMPRODUCT(D$8:D$79,Nutrients!$Z$8:$Z$79)+(IF($A$6=Nutrients!$A$8,Nutrients!$Z$8,Nutrients!$Z$9)*D$6)+(((IF($A$7=Nutrients!$A$19,Nutrients!$Z$19,(IF($A$7=Nutrients!$A$20,Nutrients!$Z$20,Nutrients!$Z$21)))))*D$7))/2000</f>
        <v>0</v>
      </c>
      <c r="E143" s="94">
        <f>(SUMPRODUCT(E$8:E$79,Nutrients!$Z$8:$Z$79)+(IF($A$6=Nutrients!$A$8,Nutrients!$Z$8,Nutrients!$Z$9)*E$6)+(((IF($A$7=Nutrients!$A$19,Nutrients!$Z$19,(IF($A$7=Nutrients!$A$20,Nutrients!$Z$20,Nutrients!$Z$21)))))*E$7))/2000</f>
        <v>0</v>
      </c>
      <c r="F143" s="94">
        <f>(SUMPRODUCT(F$8:F$79,Nutrients!$Z$8:$Z$79)+(IF($A$6=Nutrients!$A$8,Nutrients!$Z$8,Nutrients!$Z$9)*F$6)+(((IF($A$7=Nutrients!$A$19,Nutrients!$Z$19,(IF($A$7=Nutrients!$A$20,Nutrients!$Z$20,Nutrients!$Z$21)))))*F$7))/2000</f>
        <v>0</v>
      </c>
      <c r="G143" s="94"/>
      <c r="I143" s="94">
        <f>(SUMPRODUCT(I$8:I$79,Nutrients!$Z$8:$Z$79)+(IF($A$6=Nutrients!$A$8,Nutrients!$Z$8,Nutrients!$Z$9)*I$6)+(((IF($A$7=Nutrients!$A$19,Nutrients!$Z$19,(IF($A$7=Nutrients!$A$20,Nutrients!$Z$20,Nutrients!$Z$21)))))*I$7))/2000</f>
        <v>0</v>
      </c>
      <c r="J143" s="94">
        <f>(SUMPRODUCT(J$8:J$79,Nutrients!$Z$8:$Z$79)+(IF($A$6=Nutrients!$A$8,Nutrients!$Z$8,Nutrients!$Z$9)*J$6)+(((IF($A$7=Nutrients!$A$19,Nutrients!$Z$19,(IF($A$7=Nutrients!$A$20,Nutrients!$Z$20,Nutrients!$Z$21)))))*J$7))/2000</f>
        <v>0</v>
      </c>
      <c r="K143" s="94">
        <f>(SUMPRODUCT(K$8:K$79,Nutrients!$Z$8:$Z$79)+(IF($A$6=Nutrients!$A$8,Nutrients!$Z$8,Nutrients!$Z$9)*K$6)+(((IF($A$7=Nutrients!$A$19,Nutrients!$Z$19,(IF($A$7=Nutrients!$A$20,Nutrients!$Z$20,Nutrients!$Z$21)))))*K$7))/2000</f>
        <v>0</v>
      </c>
      <c r="L143" s="94">
        <f>(SUMPRODUCT(L$8:L$79,Nutrients!$Z$8:$Z$79)+(IF($A$6=Nutrients!$A$8,Nutrients!$Z$8,Nutrients!$Z$9)*L$6)+(((IF($A$7=Nutrients!$A$19,Nutrients!$Z$19,(IF($A$7=Nutrients!$A$20,Nutrients!$Z$20,Nutrients!$Z$21)))))*L$7))/2000</f>
        <v>0</v>
      </c>
      <c r="M143" s="94">
        <f>(SUMPRODUCT(M$8:M$79,Nutrients!$Z$8:$Z$79)+(IF($A$6=Nutrients!$A$8,Nutrients!$Z$8,Nutrients!$Z$9)*M$6)+(((IF($A$7=Nutrients!$A$19,Nutrients!$Z$19,(IF($A$7=Nutrients!$A$20,Nutrients!$Z$20,Nutrients!$Z$21)))))*M$7))/2000</f>
        <v>0</v>
      </c>
    </row>
    <row r="144" spans="1:13" ht="12.75">
      <c r="A144" t="s">
        <v>143</v>
      </c>
      <c r="B144" s="94">
        <f>(SUMPRODUCT(B$8:B$79,Nutrients!$AE$8:$AE$79)+(IF($A$6=Nutrients!$A$8,Nutrients!$AE$8,Nutrients!$AE$9)*B$6)+(((IF($A$7=Nutrients!$A$19,Nutrients!$AE$19,(IF($A$7=Nutrients!$A$20,Nutrients!$AE$20,Nutrients!$AE$21)))))*B$7))/2000</f>
        <v>38.993678435114504</v>
      </c>
      <c r="C144" s="94">
        <f>(SUMPRODUCT(C$8:C$79,Nutrients!$AE$8:$AE$79)+(IF($A$6=Nutrients!$A$8,Nutrients!$AE$8,Nutrients!$AE$9)*C$6)+(((IF($A$7=Nutrients!$A$19,Nutrients!$AE$19,(IF($A$7=Nutrients!$A$20,Nutrients!$AE$20,Nutrients!$AE$21)))))*C$7))/2000</f>
        <v>40.476145038167935</v>
      </c>
      <c r="D144" s="94">
        <f>(SUMPRODUCT(D$8:D$79,Nutrients!$AE$8:$AE$79)+(IF($A$6=Nutrients!$A$8,Nutrients!$AE$8,Nutrients!$AE$9)*D$6)+(((IF($A$7=Nutrients!$A$19,Nutrients!$AE$19,(IF($A$7=Nutrients!$A$20,Nutrients!$AE$20,Nutrients!$AE$21)))))*D$7))/2000</f>
        <v>41.98419608778626</v>
      </c>
      <c r="E144" s="94">
        <f>(SUMPRODUCT(E$8:E$79,Nutrients!$AE$8:$AE$79)+(IF($A$6=Nutrients!$A$8,Nutrients!$AE$8,Nutrients!$AE$9)*E$6)+(((IF($A$7=Nutrients!$A$19,Nutrients!$AE$19,(IF($A$7=Nutrients!$A$20,Nutrients!$AE$20,Nutrients!$AE$21)))))*E$7))/2000</f>
        <v>43.321803435114504</v>
      </c>
      <c r="F144" s="94">
        <f>(SUMPRODUCT(F$8:F$79,Nutrients!$AE$8:$AE$79)+(IF($A$6=Nutrients!$A$8,Nutrients!$AE$8,Nutrients!$AE$9)*F$6)+(((IF($A$7=Nutrients!$A$19,Nutrients!$AE$19,(IF($A$7=Nutrients!$A$20,Nutrients!$AE$20,Nutrients!$AE$21)))))*F$7))/2000</f>
        <v>44.15672709923664</v>
      </c>
      <c r="G144" s="94"/>
      <c r="I144" s="94">
        <f>(SUMPRODUCT(I$8:I$79,Nutrients!$AE$8:$AE$79)+(IF($A$6=Nutrients!$A$8,Nutrients!$AE$8,Nutrients!$AE$9)*I$6)+(((IF($A$7=Nutrients!$A$19,Nutrients!$AE$19,(IF($A$7=Nutrients!$A$20,Nutrients!$AE$20,Nutrients!$AE$21)))))*I$7))/2000</f>
        <v>40.81998869274809</v>
      </c>
      <c r="J144" s="94">
        <f>(SUMPRODUCT(J$8:J$79,Nutrients!$AE$8:$AE$79)+(IF($A$6=Nutrients!$A$8,Nutrients!$AE$8,Nutrients!$AE$9)*J$6)+(((IF($A$7=Nutrients!$A$19,Nutrients!$AE$19,(IF($A$7=Nutrients!$A$20,Nutrients!$AE$20,Nutrients!$AE$21)))))*J$7))/2000</f>
        <v>42.00020229007633</v>
      </c>
      <c r="K144" s="94">
        <f>(SUMPRODUCT(K$8:K$79,Nutrients!$AE$8:$AE$79)+(IF($A$6=Nutrients!$A$8,Nutrients!$AE$8,Nutrients!$AE$9)*K$6)+(((IF($A$7=Nutrients!$A$19,Nutrients!$AE$19,(IF($A$7=Nutrients!$A$20,Nutrients!$AE$20,Nutrients!$AE$21)))))*K$7))/2000</f>
        <v>43.2187925572519</v>
      </c>
      <c r="L144" s="94">
        <f>(SUMPRODUCT(L$8:L$79,Nutrients!$AE$8:$AE$79)+(IF($A$6=Nutrients!$A$8,Nutrients!$AE$8,Nutrients!$AE$9)*L$6)+(((IF($A$7=Nutrients!$A$19,Nutrients!$AE$19,(IF($A$7=Nutrients!$A$20,Nutrients!$AE$20,Nutrients!$AE$21)))))*L$7))/2000</f>
        <v>44.5436076812977</v>
      </c>
      <c r="M144" s="94">
        <f>(SUMPRODUCT(M$8:M$79,Nutrients!$AE$8:$AE$79)+(IF($A$6=Nutrients!$A$8,Nutrients!$AE$8,Nutrients!$AE$9)*M$6)+(((IF($A$7=Nutrients!$A$19,Nutrients!$AE$19,(IF($A$7=Nutrients!$A$20,Nutrients!$AE$20,Nutrients!$AE$21)))))*M$7))/2000</f>
        <v>45.4807202480916</v>
      </c>
    </row>
    <row r="145" spans="1:13" ht="12.75">
      <c r="A145" t="s">
        <v>144</v>
      </c>
      <c r="B145" s="95">
        <f>(0.4472*B144)+51.796</f>
        <v>69.23397299618321</v>
      </c>
      <c r="C145" s="95">
        <f>(0.4472*C144)+51.796</f>
        <v>69.8969320610687</v>
      </c>
      <c r="D145" s="95">
        <f>(0.4472*D144)+51.796</f>
        <v>70.57133249045802</v>
      </c>
      <c r="E145" s="95">
        <f>(0.4472*E144)+51.796</f>
        <v>71.16951049618321</v>
      </c>
      <c r="F145" s="95">
        <f>(0.4472*F144)+51.796</f>
        <v>71.54288835877863</v>
      </c>
      <c r="G145" s="95"/>
      <c r="I145" s="95">
        <f>(0.4472*I144)+51.796</f>
        <v>70.05069894339695</v>
      </c>
      <c r="J145" s="95">
        <f>(0.4472*J144)+51.796</f>
        <v>70.57849046412213</v>
      </c>
      <c r="K145" s="95">
        <f>(0.4472*K144)+51.796</f>
        <v>71.12344403160304</v>
      </c>
      <c r="L145" s="95">
        <f>(0.4472*L144)+51.796</f>
        <v>71.71590135507633</v>
      </c>
      <c r="M145" s="95">
        <f>(0.4472*M144)+51.796</f>
        <v>72.13497809494656</v>
      </c>
    </row>
    <row r="146" spans="1:13" ht="12.75">
      <c r="A146" t="s">
        <v>168</v>
      </c>
      <c r="B146" s="95">
        <f>(SUMPRODUCT(B$8:B$79,Nutrients!$AA$8:$AA$79)+(IF($A$6=Nutrients!$A$8,Nutrients!$AA$8,Nutrients!$AA$9)*B$6)+(((IF($A$7=Nutrients!$A$19,Nutrients!$AA$19,(IF($A$7=Nutrients!$A$20,Nutrients!$AA$20,Nutrients!$AA$21)))))*B$7))/2000</f>
        <v>0.15971000000000002</v>
      </c>
      <c r="C146" s="95">
        <f>(SUMPRODUCT(C$8:C$79,Nutrients!$AA$8:$AA$79)+(IF($A$6=Nutrients!$A$8,Nutrients!$AA$8,Nutrients!$AA$9)*C$6)+(((IF($A$7=Nutrients!$A$19,Nutrients!$AA$19,(IF($A$7=Nutrients!$A$20,Nutrients!$AA$20,Nutrients!$AA$21)))))*C$7))/2000</f>
        <v>0.15953</v>
      </c>
      <c r="D146" s="95">
        <f>(SUMPRODUCT(D$8:D$79,Nutrients!$AA$8:$AA$79)+(IF($A$6=Nutrients!$A$8,Nutrients!$AA$8,Nutrients!$AA$9)*D$6)+(((IF($A$7=Nutrients!$A$19,Nutrients!$AA$19,(IF($A$7=Nutrients!$A$20,Nutrients!$AA$20,Nutrients!$AA$21)))))*D$7))/2000</f>
        <v>0.15936</v>
      </c>
      <c r="E146" s="95">
        <f>(SUMPRODUCT(E$8:E$79,Nutrients!$AA$8:$AA$79)+(IF($A$6=Nutrients!$A$8,Nutrients!$AA$8,Nutrients!$AA$9)*E$6)+(((IF($A$7=Nutrients!$A$19,Nutrients!$AA$19,(IF($A$7=Nutrients!$A$20,Nutrients!$AA$20,Nutrients!$AA$21)))))*E$7))/2000</f>
        <v>0.15937000000000004</v>
      </c>
      <c r="F146" s="95">
        <f>(SUMPRODUCT(F$8:F$79,Nutrients!$AA$8:$AA$79)+(IF($A$6=Nutrients!$A$8,Nutrients!$AA$8,Nutrients!$AA$9)*F$6)+(((IF($A$7=Nutrients!$A$19,Nutrients!$AA$19,(IF($A$7=Nutrients!$A$20,Nutrients!$AA$20,Nutrients!$AA$21)))))*F$7))/2000</f>
        <v>0.15947000000000003</v>
      </c>
      <c r="G146" s="95"/>
      <c r="I146" s="95">
        <f>(SUMPRODUCT(I$8:I$79,Nutrients!$AA$8:$AA$79)+(IF($A$6=Nutrients!$A$8,Nutrients!$AA$8,Nutrients!$AA$9)*I$6)+(((IF($A$7=Nutrients!$A$19,Nutrients!$AA$19,(IF($A$7=Nutrients!$A$20,Nutrients!$AA$20,Nutrients!$AA$21)))))*I$7))/2000</f>
        <v>0.176645</v>
      </c>
      <c r="J146" s="95">
        <f>(SUMPRODUCT(J$8:J$79,Nutrients!$AA$8:$AA$79)+(IF($A$6=Nutrients!$A$8,Nutrients!$AA$8,Nutrients!$AA$9)*J$6)+(((IF($A$7=Nutrients!$A$19,Nutrients!$AA$19,(IF($A$7=Nutrients!$A$20,Nutrients!$AA$20,Nutrients!$AA$21)))))*J$7))/2000</f>
        <v>0.17364</v>
      </c>
      <c r="K146" s="95">
        <f>(SUMPRODUCT(K$8:K$79,Nutrients!$AA$8:$AA$79)+(IF($A$6=Nutrients!$A$8,Nutrients!$AA$8,Nutrients!$AA$9)*K$6)+(((IF($A$7=Nutrients!$A$19,Nutrients!$AA$19,(IF($A$7=Nutrients!$A$20,Nutrients!$AA$20,Nutrients!$AA$21)))))*K$7))/2000</f>
        <v>0.17063</v>
      </c>
      <c r="L146" s="95">
        <f>(SUMPRODUCT(L$8:L$79,Nutrients!$AA$8:$AA$79)+(IF($A$6=Nutrients!$A$8,Nutrients!$AA$8,Nutrients!$AA$9)*L$6)+(((IF($A$7=Nutrients!$A$19,Nutrients!$AA$19,(IF($A$7=Nutrients!$A$20,Nutrients!$AA$20,Nutrients!$AA$21)))))*L$7))/2000</f>
        <v>0.170655</v>
      </c>
      <c r="M146" s="95">
        <f>(SUMPRODUCT(M$8:M$79,Nutrients!$AA$8:$AA$79)+(IF($A$6=Nutrients!$A$8,Nutrients!$AA$8,Nutrients!$AA$9)*M$6)+(((IF($A$7=Nutrients!$A$19,Nutrients!$AA$19,(IF($A$7=Nutrients!$A$20,Nutrients!$AA$20,Nutrients!$AA$21)))))*M$7))/2000</f>
        <v>0.17156500000000002</v>
      </c>
    </row>
    <row r="147" spans="1:13" ht="12.75">
      <c r="A147" t="s">
        <v>169</v>
      </c>
      <c r="B147" s="95">
        <f>(SUMPRODUCT(B$8:B$79,Nutrients!$AB$8:$AB$79)+(IF($A$6=Nutrients!$A$8,Nutrients!$AB$8,Nutrients!$AB$9)*B$6)+(((IF($A$7=Nutrients!$A$19,Nutrients!$AB$19,(IF($A$7=Nutrients!$A$20,Nutrients!$AB$20,Nutrients!$AB$21)))))*B$7))/2000</f>
        <v>0.29014999999999996</v>
      </c>
      <c r="C147" s="95">
        <f>(SUMPRODUCT(C$8:C$79,Nutrients!$AB$8:$AB$79)+(IF($A$6=Nutrients!$A$8,Nutrients!$AB$8,Nutrients!$AB$9)*C$6)+(((IF($A$7=Nutrients!$A$19,Nutrients!$AB$19,(IF($A$7=Nutrients!$A$20,Nutrients!$AB$20,Nutrients!$AB$21)))))*C$7))/2000</f>
        <v>0.28973000000000004</v>
      </c>
      <c r="D147" s="95">
        <f>(SUMPRODUCT(D$8:D$79,Nutrients!$AB$8:$AB$79)+(IF($A$6=Nutrients!$A$8,Nutrients!$AB$8,Nutrients!$AB$9)*D$6)+(((IF($A$7=Nutrients!$A$19,Nutrients!$AB$19,(IF($A$7=Nutrients!$A$20,Nutrients!$AB$20,Nutrients!$AB$21)))))*D$7))/2000</f>
        <v>0.28933499999999995</v>
      </c>
      <c r="E147" s="95">
        <f>(SUMPRODUCT(E$8:E$79,Nutrients!$AB$8:$AB$79)+(IF($A$6=Nutrients!$A$8,Nutrients!$AB$8,Nutrients!$AB$9)*E$6)+(((IF($A$7=Nutrients!$A$19,Nutrients!$AB$19,(IF($A$7=Nutrients!$A$20,Nutrients!$AB$20,Nutrients!$AB$21)))))*E$7))/2000</f>
        <v>0.28936</v>
      </c>
      <c r="F147" s="95">
        <f>(SUMPRODUCT(F$8:F$79,Nutrients!$AB$8:$AB$79)+(IF($A$6=Nutrients!$A$8,Nutrients!$AB$8,Nutrients!$AB$9)*F$6)+(((IF($A$7=Nutrients!$A$19,Nutrients!$AB$19,(IF($A$7=Nutrients!$A$20,Nutrients!$AB$20,Nutrients!$AB$21)))))*F$7))/2000</f>
        <v>0.289595</v>
      </c>
      <c r="G147" s="95"/>
      <c r="I147" s="95">
        <f>(SUMPRODUCT(I$8:I$79,Nutrients!$AB$8:$AB$79)+(IF($A$6=Nutrients!$A$8,Nutrients!$AB$8,Nutrients!$AB$9)*I$6)+(((IF($A$7=Nutrients!$A$19,Nutrients!$AB$19,(IF($A$7=Nutrients!$A$20,Nutrients!$AB$20,Nutrients!$AB$21)))))*I$7))/2000</f>
        <v>0.3069725</v>
      </c>
      <c r="J147" s="95">
        <f>(SUMPRODUCT(J$8:J$79,Nutrients!$AB$8:$AB$79)+(IF($A$6=Nutrients!$A$8,Nutrients!$AB$8,Nutrients!$AB$9)*J$6)+(((IF($A$7=Nutrients!$A$19,Nutrients!$AB$19,(IF($A$7=Nutrients!$A$20,Nutrients!$AB$20,Nutrients!$AB$21)))))*J$7))/2000</f>
        <v>0.30374999999999996</v>
      </c>
      <c r="K147" s="95">
        <f>(SUMPRODUCT(K$8:K$79,Nutrients!$AB$8:$AB$79)+(IF($A$6=Nutrients!$A$8,Nutrients!$AB$8,Nutrients!$AB$9)*K$6)+(((IF($A$7=Nutrients!$A$19,Nutrients!$AB$19,(IF($A$7=Nutrients!$A$20,Nutrients!$AB$20,Nutrients!$AB$21)))))*K$7))/2000</f>
        <v>0.30056</v>
      </c>
      <c r="L147" s="95">
        <f>(SUMPRODUCT(L$8:L$79,Nutrients!$AB$8:$AB$79)+(IF($A$6=Nutrients!$A$8,Nutrients!$AB$8,Nutrients!$AB$9)*L$6)+(((IF($A$7=Nutrients!$A$19,Nutrients!$AB$19,(IF($A$7=Nutrients!$A$20,Nutrients!$AB$20,Nutrients!$AB$21)))))*L$7))/2000</f>
        <v>0.3005775</v>
      </c>
      <c r="M147" s="95">
        <f>(SUMPRODUCT(M$8:M$79,Nutrients!$AB$8:$AB$79)+(IF($A$6=Nutrients!$A$8,Nutrients!$AB$8,Nutrients!$AB$9)*M$6)+(((IF($A$7=Nutrients!$A$19,Nutrients!$AB$19,(IF($A$7=Nutrients!$A$20,Nutrients!$AB$20,Nutrients!$AB$21)))))*M$7))/2000</f>
        <v>0.30157000000000006</v>
      </c>
    </row>
    <row r="148" spans="1:13" ht="12.75">
      <c r="A148" t="s">
        <v>170</v>
      </c>
      <c r="B148" s="95">
        <f>(SUMPRODUCT(B$8:B$79,Nutrients!$AC$8:$AC$79)+(IF($A$6=Nutrients!$A$8,Nutrients!$AC$8,Nutrients!$AC$9)*B$6)+(((IF($A$7=Nutrients!$A$19,Nutrients!$AC$19,(IF($A$7=Nutrients!$A$20,Nutrients!$AC$20,Nutrients!$AC$21)))))*B$7))/2000</f>
        <v>0.845072651081425</v>
      </c>
      <c r="C148" s="95">
        <f>(SUMPRODUCT(C$8:C$79,Nutrients!$AC$8:$AC$79)+(IF($A$6=Nutrients!$A$8,Nutrients!$AC$8,Nutrients!$AC$9)*C$6)+(((IF($A$7=Nutrients!$A$19,Nutrients!$AC$19,(IF($A$7=Nutrients!$A$20,Nutrients!$AC$20,Nutrients!$AC$21)))))*C$7))/2000</f>
        <v>0.7587417493638677</v>
      </c>
      <c r="D148" s="95">
        <f>(SUMPRODUCT(D$8:D$79,Nutrients!$AC$8:$AC$79)+(IF($A$6=Nutrients!$A$8,Nutrients!$AC$8,Nutrients!$AC$9)*D$6)+(((IF($A$7=Nutrients!$A$19,Nutrients!$AC$19,(IF($A$7=Nutrients!$A$20,Nutrients!$AC$20,Nutrients!$AC$21)))))*D$7))/2000</f>
        <v>0.6725028777035625</v>
      </c>
      <c r="E148" s="95">
        <f>(SUMPRODUCT(E$8:E$79,Nutrients!$AC$8:$AC$79)+(IF($A$6=Nutrients!$A$8,Nutrients!$AC$8,Nutrients!$AC$9)*E$6)+(((IF($A$7=Nutrients!$A$19,Nutrients!$AC$19,(IF($A$7=Nutrients!$A$20,Nutrients!$AC$20,Nutrients!$AC$21)))))*E$7))/2000</f>
        <v>0.5934361927480918</v>
      </c>
      <c r="F148" s="95">
        <f>(SUMPRODUCT(F$8:F$79,Nutrients!$AC$8:$AC$79)+(IF($A$6=Nutrients!$A$8,Nutrients!$AC$8,Nutrients!$AC$9)*F$6)+(((IF($A$7=Nutrients!$A$19,Nutrients!$AC$19,(IF($A$7=Nutrients!$A$20,Nutrients!$AC$20,Nutrients!$AC$21)))))*F$7))/2000</f>
        <v>0.5431424650127228</v>
      </c>
      <c r="G148" s="95"/>
      <c r="I148" s="95">
        <f>(SUMPRODUCT(I$8:I$79,Nutrients!$AC$8:$AC$79)+(IF($A$6=Nutrients!$A$8,Nutrients!$AC$8,Nutrients!$AC$9)*I$6)+(((IF($A$7=Nutrients!$A$19,Nutrients!$AC$19,(IF($A$7=Nutrients!$A$20,Nutrients!$AC$20,Nutrients!$AC$21)))))*I$7))/2000</f>
        <v>0.8163393030375322</v>
      </c>
      <c r="J148" s="95">
        <f>(SUMPRODUCT(J$8:J$79,Nutrients!$AC$8:$AC$79)+(IF($A$6=Nutrients!$A$8,Nutrients!$AC$8,Nutrients!$AC$9)*J$6)+(((IF($A$7=Nutrients!$A$19,Nutrients!$AC$19,(IF($A$7=Nutrients!$A$20,Nutrients!$AC$20,Nutrients!$AC$21)))))*J$7))/2000</f>
        <v>0.7348016284987281</v>
      </c>
      <c r="K148" s="95">
        <f>(SUMPRODUCT(K$8:K$79,Nutrients!$AC$8:$AC$79)+(IF($A$6=Nutrients!$A$8,Nutrients!$AC$8,Nutrients!$AC$9)*K$6)+(((IF($A$7=Nutrients!$A$19,Nutrients!$AC$19,(IF($A$7=Nutrients!$A$20,Nutrients!$AC$20,Nutrients!$AC$21)))))*K$7))/2000</f>
        <v>0.6533819990458016</v>
      </c>
      <c r="L148" s="95">
        <f>(SUMPRODUCT(L$8:L$79,Nutrients!$AC$8:$AC$79)+(IF($A$6=Nutrients!$A$8,Nutrients!$AC$8,Nutrients!$AC$9)*L$6)+(((IF($A$7=Nutrients!$A$19,Nutrients!$AC$19,(IF($A$7=Nutrients!$A$20,Nutrients!$AC$20,Nutrients!$AC$21)))))*L$7))/2000</f>
        <v>0.5742892990617051</v>
      </c>
      <c r="M148" s="95">
        <f>(SUMPRODUCT(M$8:M$79,Nutrients!$AC$8:$AC$79)+(IF($A$6=Nutrients!$A$8,Nutrients!$AC$8,Nutrients!$AC$9)*M$6)+(((IF($A$7=Nutrients!$A$19,Nutrients!$AC$19,(IF($A$7=Nutrients!$A$20,Nutrients!$AC$20,Nutrients!$AC$21)))))*M$7))/2000</f>
        <v>0.5225650166984733</v>
      </c>
    </row>
    <row r="149" spans="1:13" ht="12.75">
      <c r="A149" t="s">
        <v>86</v>
      </c>
      <c r="B149" s="15">
        <f>(B146*434.98)+(B148*255.74)-(B147*282.06)</f>
        <v>203.7498265875637</v>
      </c>
      <c r="C149" s="15">
        <f>(C146*434.98)+(C148*255.74)-(C147*282.06)</f>
        <v>181.7117305823155</v>
      </c>
      <c r="D149" s="15">
        <f>(D146*434.98)+(D148*255.74)-(D147*282.06)</f>
        <v>159.69446864390912</v>
      </c>
      <c r="E149" s="15">
        <f>(E146*434.98)+(E148*255.74)-(E147*282.06)</f>
        <v>139.471252933397</v>
      </c>
      <c r="F149" s="15">
        <f>(F146*434.98)+(F148*255.74)-(F147*282.06)</f>
        <v>126.58634890235375</v>
      </c>
      <c r="G149" s="95"/>
      <c r="I149" s="15">
        <f>(I146*434.98)+(I148*255.74)-(I147*282.06)</f>
        <v>199.0229921088185</v>
      </c>
      <c r="J149" s="15">
        <f>(J146*434.98)+(J148*255.74)-(J147*282.06)</f>
        <v>177.77237067226474</v>
      </c>
      <c r="K149" s="15">
        <f>(K146*434.98)+(K148*255.74)-(K147*282.06)</f>
        <v>156.54059623597334</v>
      </c>
      <c r="L149" s="15">
        <f>(L146*434.98)+(L148*255.74)-(L147*282.06)</f>
        <v>136.31936759204046</v>
      </c>
      <c r="M149" s="15">
        <f>(M146*434.98)+(M148*255.74)-(M147*282.06)</f>
        <v>123.20728687046756</v>
      </c>
    </row>
    <row r="150" spans="2:13" ht="12.75">
      <c r="B150" s="16"/>
      <c r="C150" s="16"/>
      <c r="D150" s="16"/>
      <c r="E150" s="16"/>
      <c r="F150" s="16"/>
      <c r="G150" s="16"/>
      <c r="I150" s="16"/>
      <c r="J150" s="16"/>
      <c r="K150" s="16"/>
      <c r="L150" s="16"/>
      <c r="M150" s="16"/>
    </row>
    <row r="151" spans="1:13" ht="12.75">
      <c r="A151" s="41" t="s">
        <v>116</v>
      </c>
      <c r="B151" s="28"/>
      <c r="C151" s="28"/>
      <c r="D151" s="28"/>
      <c r="E151" s="28"/>
      <c r="F151" s="28"/>
      <c r="G151" s="28"/>
      <c r="I151" s="28"/>
      <c r="J151" s="28"/>
      <c r="K151" s="28"/>
      <c r="L151" s="28"/>
      <c r="M151" s="28"/>
    </row>
    <row r="152" spans="1:13" ht="12.75">
      <c r="A152" s="5" t="s">
        <v>52</v>
      </c>
      <c r="B152" s="92">
        <f>(SUMPRODUCT(B$8:B$79,Nutrients!$F$8:$F$79)+(IF($A$6=Nutrients!$A$8,Nutrients!$F$8,Nutrients!$F$9)*B$6)+(((IF($A$7=Nutrients!$A$19,Nutrients!$F$19,(IF($A$7=Nutrients!$A$20,Nutrients!$F$20,Nutrients!$F$21)))))*B$7))/2000/B$85</f>
        <v>0.6984983388272344</v>
      </c>
      <c r="C152" s="92">
        <f>(SUMPRODUCT(C$8:C$79,Nutrients!$F$8:$F$79)+(IF($A$6=Nutrients!$A$8,Nutrients!$F$8,Nutrients!$F$9)*C$6)+(((IF($A$7=Nutrients!$A$19,Nutrients!$F$19,(IF($A$7=Nutrients!$A$20,Nutrients!$F$20,Nutrients!$F$21)))))*C$7))/2000/C$85</f>
        <v>0.7008037572792158</v>
      </c>
      <c r="D152" s="92">
        <f>(SUMPRODUCT(D$8:D$79,Nutrients!$F$8:$F$79)+(IF($A$6=Nutrients!$A$8,Nutrients!$F$8,Nutrients!$F$9)*D$6)+(((IF($A$7=Nutrients!$A$19,Nutrients!$F$19,(IF($A$7=Nutrients!$A$20,Nutrients!$F$20,Nutrients!$F$21)))))*D$7))/2000/D$85</f>
        <v>0.7038378116548378</v>
      </c>
      <c r="E152" s="92">
        <f>(SUMPRODUCT(E$8:E$79,Nutrients!$F$8:$F$79)+(IF($A$6=Nutrients!$A$8,Nutrients!$F$8,Nutrients!$F$9)*E$6)+(((IF($A$7=Nutrients!$A$19,Nutrients!$F$19,(IF($A$7=Nutrients!$A$20,Nutrients!$F$20,Nutrients!$F$21)))))*E$7))/2000/E$85</f>
        <v>0.7074018018193816</v>
      </c>
      <c r="F152" s="92">
        <f>(SUMPRODUCT(F$8:F$79,Nutrients!$F$8:$F$79)+(IF($A$6=Nutrients!$A$8,Nutrients!$F$8,Nutrients!$F$9)*F$6)+(((IF($A$7=Nutrients!$A$19,Nutrients!$F$19,(IF($A$7=Nutrients!$A$20,Nutrients!$F$20,Nutrients!$F$21)))))*F$7))/2000/F$85</f>
        <v>0.7102586745896833</v>
      </c>
      <c r="G152" s="92"/>
      <c r="I152" s="92">
        <f>(SUMPRODUCT(I$8:I$79,Nutrients!$F$8:$F$79)+(IF($A$6=Nutrients!$A$8,Nutrients!$F$8,Nutrients!$F$9)*I$6)+(((IF($A$7=Nutrients!$A$19,Nutrients!$F$19,(IF($A$7=Nutrients!$A$20,Nutrients!$F$20,Nutrients!$F$21)))))*I$7))/2000/I$85</f>
        <v>0.6872463718288835</v>
      </c>
      <c r="J152" s="92">
        <f>(SUMPRODUCT(J$8:J$79,Nutrients!$F$8:$F$79)+(IF($A$6=Nutrients!$A$8,Nutrients!$F$8,Nutrients!$F$9)*J$6)+(((IF($A$7=Nutrients!$A$19,Nutrients!$F$19,(IF($A$7=Nutrients!$A$20,Nutrients!$F$20,Nutrients!$F$21)))))*J$7))/2000/J$85</f>
        <v>0.6902180052497787</v>
      </c>
      <c r="K152" s="92">
        <f>(SUMPRODUCT(K$8:K$79,Nutrients!$F$8:$F$79)+(IF($A$6=Nutrients!$A$8,Nutrients!$F$8,Nutrients!$F$9)*K$6)+(((IF($A$7=Nutrients!$A$19,Nutrients!$F$19,(IF($A$7=Nutrients!$A$20,Nutrients!$F$20,Nutrients!$F$21)))))*K$7))/2000/K$85</f>
        <v>0.6941443684224089</v>
      </c>
      <c r="L152" s="92">
        <f>(SUMPRODUCT(L$8:L$79,Nutrients!$F$8:$F$79)+(IF($A$6=Nutrients!$A$8,Nutrients!$F$8,Nutrients!$F$9)*L$6)+(((IF($A$7=Nutrients!$A$19,Nutrients!$F$19,(IF($A$7=Nutrients!$A$20,Nutrients!$F$20,Nutrients!$F$21)))))*L$7))/2000/L$85</f>
        <v>0.6961657758538605</v>
      </c>
      <c r="M152" s="92">
        <f>(SUMPRODUCT(M$8:M$79,Nutrients!$F$8:$F$79)+(IF($A$6=Nutrients!$A$8,Nutrients!$F$8,Nutrients!$F$9)*M$6)+(((IF($A$7=Nutrients!$A$19,Nutrients!$F$19,(IF($A$7=Nutrients!$A$20,Nutrients!$F$20,Nutrients!$F$21)))))*M$7))/2000/M$85</f>
        <v>0.6968886772340661</v>
      </c>
    </row>
    <row r="153" spans="1:13" ht="12.75">
      <c r="A153" s="5" t="s">
        <v>53</v>
      </c>
      <c r="B153" s="92">
        <f>(SUMPRODUCT(B$8:B$79,Nutrients!$G$8:$G$79)+(IF($A$6=Nutrients!$A$8,Nutrients!$G$8,Nutrients!$G$9)*B$6)+(((IF($A$7=Nutrients!$A$19,Nutrients!$G$19,(IF($A$7=Nutrients!$A$20,Nutrients!$G$20,Nutrients!$G$21)))))*B$7))/2000/B$85</f>
        <v>1.488195184117117</v>
      </c>
      <c r="C153" s="92">
        <f>(SUMPRODUCT(C$8:C$79,Nutrients!$G$8:$G$79)+(IF($A$6=Nutrients!$A$8,Nutrients!$G$8,Nutrients!$G$9)*C$6)+(((IF($A$7=Nutrients!$A$19,Nutrients!$G$19,(IF($A$7=Nutrients!$A$20,Nutrients!$G$20,Nutrients!$G$21)))))*C$7))/2000/C$85</f>
        <v>1.5551689861568345</v>
      </c>
      <c r="D153" s="92">
        <f>(SUMPRODUCT(D$8:D$79,Nutrients!$G$8:$G$79)+(IF($A$6=Nutrients!$A$8,Nutrients!$G$8,Nutrients!$G$9)*D$6)+(((IF($A$7=Nutrients!$A$19,Nutrients!$G$19,(IF($A$7=Nutrients!$A$20,Nutrients!$G$20,Nutrients!$G$21)))))*D$7))/2000/D$85</f>
        <v>1.6420635778663546</v>
      </c>
      <c r="E153" s="92">
        <f>(SUMPRODUCT(E$8:E$79,Nutrients!$G$8:$G$79)+(IF($A$6=Nutrients!$A$8,Nutrients!$G$8,Nutrients!$G$9)*E$6)+(((IF($A$7=Nutrients!$A$19,Nutrients!$G$19,(IF($A$7=Nutrients!$A$20,Nutrients!$G$20,Nutrients!$G$21)))))*E$7))/2000/E$85</f>
        <v>1.746606374298889</v>
      </c>
      <c r="F153" s="92">
        <f>(SUMPRODUCT(F$8:F$79,Nutrients!$G$8:$G$79)+(IF($A$6=Nutrients!$A$8,Nutrients!$G$8,Nutrients!$G$9)*F$6)+(((IF($A$7=Nutrients!$A$19,Nutrients!$G$19,(IF($A$7=Nutrients!$A$20,Nutrients!$G$20,Nutrients!$G$21)))))*F$7))/2000/F$85</f>
        <v>1.8314355012989398</v>
      </c>
      <c r="G153" s="92"/>
      <c r="I153" s="92">
        <f>(SUMPRODUCT(I$8:I$79,Nutrients!$G$8:$G$79)+(IF($A$6=Nutrients!$A$8,Nutrients!$G$8,Nutrients!$G$9)*I$6)+(((IF($A$7=Nutrients!$A$19,Nutrients!$G$19,(IF($A$7=Nutrients!$A$20,Nutrients!$G$20,Nutrients!$G$21)))))*I$7))/2000/I$85</f>
        <v>1.4864293814218863</v>
      </c>
      <c r="J153" s="92">
        <f>(SUMPRODUCT(J$8:J$79,Nutrients!$G$8:$G$79)+(IF($A$6=Nutrients!$A$8,Nutrients!$G$8,Nutrients!$G$9)*J$6)+(((IF($A$7=Nutrients!$A$19,Nutrients!$G$19,(IF($A$7=Nutrients!$A$20,Nutrients!$G$20,Nutrients!$G$21)))))*J$7))/2000/J$85</f>
        <v>1.55308412090147</v>
      </c>
      <c r="K153" s="92">
        <f>(SUMPRODUCT(K$8:K$79,Nutrients!$G$8:$G$79)+(IF($A$6=Nutrients!$A$8,Nutrients!$G$8,Nutrients!$G$9)*K$6)+(((IF($A$7=Nutrients!$A$19,Nutrients!$G$19,(IF($A$7=Nutrients!$A$20,Nutrients!$G$20,Nutrients!$G$21)))))*K$7))/2000/K$85</f>
        <v>1.63984655471412</v>
      </c>
      <c r="L153" s="92">
        <f>(SUMPRODUCT(L$8:L$79,Nutrients!$G$8:$G$79)+(IF($A$6=Nutrients!$A$8,Nutrients!$G$8,Nutrients!$G$9)*L$6)+(((IF($A$7=Nutrients!$A$19,Nutrients!$G$19,(IF($A$7=Nutrients!$A$20,Nutrients!$G$20,Nutrients!$G$21)))))*L$7))/2000/L$85</f>
        <v>1.7430735199829832</v>
      </c>
      <c r="M153" s="92">
        <f>(SUMPRODUCT(M$8:M$79,Nutrients!$G$8:$G$79)+(IF($A$6=Nutrients!$A$8,Nutrients!$G$8,Nutrients!$G$9)*M$6)+(((IF($A$7=Nutrients!$A$19,Nutrients!$G$19,(IF($A$7=Nutrients!$A$20,Nutrients!$G$20,Nutrients!$G$21)))))*M$7))/2000/M$85</f>
        <v>1.8267102660376076</v>
      </c>
    </row>
    <row r="154" spans="1:13" ht="12.75">
      <c r="A154" s="6" t="s">
        <v>33</v>
      </c>
      <c r="B154" s="92">
        <f>(SUMPRODUCT(B$8:B$79,Nutrients!$H$8:$H$79)+(IF($A$6=Nutrients!$A$8,Nutrients!$H$8,Nutrients!$H$9)*B$6)+(((IF($A$7=Nutrients!$A$19,Nutrients!$H$19,(IF($A$7=Nutrients!$A$20,Nutrients!$H$20,Nutrients!$H$21)))))*B$7))/2000/B$85</f>
        <v>0.26579394467783185</v>
      </c>
      <c r="C154" s="92">
        <f>(SUMPRODUCT(C$8:C$79,Nutrients!$H$8:$H$79)+(IF($A$6=Nutrients!$A$8,Nutrients!$H$8,Nutrients!$H$9)*C$6)+(((IF($A$7=Nutrients!$A$19,Nutrients!$H$19,(IF($A$7=Nutrients!$A$20,Nutrients!$H$20,Nutrients!$H$21)))))*C$7))/2000/C$85</f>
        <v>0.2766804816253083</v>
      </c>
      <c r="D154" s="92">
        <f>(SUMPRODUCT(D$8:D$79,Nutrients!$H$8:$H$79)+(IF($A$6=Nutrients!$A$8,Nutrients!$H$8,Nutrients!$H$9)*D$6)+(((IF($A$7=Nutrients!$A$19,Nutrients!$H$19,(IF($A$7=Nutrients!$A$20,Nutrients!$H$20,Nutrients!$H$21)))))*D$7))/2000/D$85</f>
        <v>0.29080671034824995</v>
      </c>
      <c r="E154" s="92">
        <f>(SUMPRODUCT(E$8:E$79,Nutrients!$H$8:$H$79)+(IF($A$6=Nutrients!$A$8,Nutrients!$H$8,Nutrients!$H$9)*E$6)+(((IF($A$7=Nutrients!$A$19,Nutrients!$H$19,(IF($A$7=Nutrients!$A$20,Nutrients!$H$20,Nutrients!$H$21)))))*E$7))/2000/E$85</f>
        <v>0.3077987777288588</v>
      </c>
      <c r="F154" s="92">
        <f>(SUMPRODUCT(F$8:F$79,Nutrients!$H$8:$H$79)+(IF($A$6=Nutrients!$A$8,Nutrients!$H$8,Nutrients!$H$9)*F$6)+(((IF($A$7=Nutrients!$A$19,Nutrients!$H$19,(IF($A$7=Nutrients!$A$20,Nutrients!$H$20,Nutrients!$H$21)))))*F$7))/2000/F$85</f>
        <v>0.3215853516154145</v>
      </c>
      <c r="G154" s="92"/>
      <c r="I154" s="92">
        <f>(SUMPRODUCT(I$8:I$79,Nutrients!$H$8:$H$79)+(IF($A$6=Nutrients!$A$8,Nutrients!$H$8,Nutrients!$H$9)*I$6)+(((IF($A$7=Nutrients!$A$19,Nutrients!$H$19,(IF($A$7=Nutrients!$A$20,Nutrients!$H$20,Nutrients!$H$21)))))*I$7))/2000/I$85</f>
        <v>0.2689225475597342</v>
      </c>
      <c r="J154" s="92">
        <f>(SUMPRODUCT(J$8:J$79,Nutrients!$H$8:$H$79)+(IF($A$6=Nutrients!$A$8,Nutrients!$H$8,Nutrients!$H$9)*J$6)+(((IF($A$7=Nutrients!$A$19,Nutrients!$H$19,(IF($A$7=Nutrients!$A$20,Nutrients!$H$20,Nutrients!$H$21)))))*J$7))/2000/J$85</f>
        <v>0.27955159573027266</v>
      </c>
      <c r="K154" s="92">
        <f>(SUMPRODUCT(K$8:K$79,Nutrients!$H$8:$H$79)+(IF($A$6=Nutrients!$A$8,Nutrients!$H$8,Nutrients!$H$9)*K$6)+(((IF($A$7=Nutrients!$A$19,Nutrients!$H$19,(IF($A$7=Nutrients!$A$20,Nutrients!$H$20,Nutrients!$H$21)))))*K$7))/2000/K$85</f>
        <v>0.2933911880897836</v>
      </c>
      <c r="L154" s="92">
        <f>(SUMPRODUCT(L$8:L$79,Nutrients!$H$8:$H$79)+(IF($A$6=Nutrients!$A$8,Nutrients!$H$8,Nutrients!$H$9)*L$6)+(((IF($A$7=Nutrients!$A$19,Nutrients!$H$19,(IF($A$7=Nutrients!$A$20,Nutrients!$H$20,Nutrients!$H$21)))))*L$7))/2000/L$85</f>
        <v>0.31061950123342147</v>
      </c>
      <c r="M154" s="92">
        <f>(SUMPRODUCT(M$8:M$79,Nutrients!$H$8:$H$79)+(IF($A$6=Nutrients!$A$8,Nutrients!$H$8,Nutrients!$H$9)*M$6)+(((IF($A$7=Nutrients!$A$19,Nutrients!$H$19,(IF($A$7=Nutrients!$A$20,Nutrients!$H$20,Nutrients!$H$21)))))*M$7))/2000/M$85</f>
        <v>0.32485943011062995</v>
      </c>
    </row>
    <row r="155" spans="1:13" ht="12.75">
      <c r="A155" s="6" t="s">
        <v>54</v>
      </c>
      <c r="B155" s="92">
        <f>((SUMPRODUCT(B$8:B$79,Nutrients!$H$8:$H$79)+(IF($A$6=Nutrients!$A$8,Nutrients!$H$8,Nutrients!$H$9)*B$6)+(((IF($A$7=Nutrients!$A$19,Nutrients!$H$19,(IF($A$7=Nutrients!$A$20,Nutrients!$H$20,Nutrients!$H$21)))))*B$7))+(SUMPRODUCT(B$8:B$79,Nutrients!$I$8:$I$79)+(IF($A$6=Nutrients!$A$8,Nutrients!$I$8,Nutrients!$I$9)*B$6)+(((IF($A$7=Nutrients!$A$19,Nutrients!$I$19,(IF($A$7=Nutrients!$A$20,Nutrients!$I$20,Nutrients!$I$21)))))*B$7)))/2000/B$85</f>
        <v>0.5606802589890488</v>
      </c>
      <c r="C155" s="92">
        <f>((SUMPRODUCT(C$8:C$79,Nutrients!$H$8:$H$79)+(IF($A$6=Nutrients!$A$8,Nutrients!$H$8,Nutrients!$H$9)*C$6)+(((IF($A$7=Nutrients!$A$19,Nutrients!$H$19,(IF($A$7=Nutrients!$A$20,Nutrients!$H$20,Nutrients!$H$21)))))*C$7))+(SUMPRODUCT(C$8:C$79,Nutrients!$I$8:$I$79)+(IF($A$6=Nutrients!$A$8,Nutrients!$I$8,Nutrients!$I$9)*C$6)+(((IF($A$7=Nutrients!$A$19,Nutrients!$I$19,(IF($A$7=Nutrients!$A$20,Nutrients!$I$20,Nutrients!$I$21)))))*C$7)))/2000/C$85</f>
        <v>0.5838646031751068</v>
      </c>
      <c r="D155" s="92">
        <f>((SUMPRODUCT(D$8:D$79,Nutrients!$H$8:$H$79)+(IF($A$6=Nutrients!$A$8,Nutrients!$H$8,Nutrients!$H$9)*D$6)+(((IF($A$7=Nutrients!$A$19,Nutrients!$H$19,(IF($A$7=Nutrients!$A$20,Nutrients!$H$20,Nutrients!$H$21)))))*D$7))+(SUMPRODUCT(D$8:D$79,Nutrients!$I$8:$I$79)+(IF($A$6=Nutrients!$A$8,Nutrients!$I$8,Nutrients!$I$9)*D$6)+(((IF($A$7=Nutrients!$A$19,Nutrients!$I$19,(IF($A$7=Nutrients!$A$20,Nutrients!$I$20,Nutrients!$I$21)))))*D$7)))/2000/D$85</f>
        <v>0.61394795102354</v>
      </c>
      <c r="E155" s="92">
        <f>((SUMPRODUCT(E$8:E$79,Nutrients!$H$8:$H$79)+(IF($A$6=Nutrients!$A$8,Nutrients!$H$8,Nutrients!$H$9)*E$6)+(((IF($A$7=Nutrients!$A$19,Nutrients!$H$19,(IF($A$7=Nutrients!$A$20,Nutrients!$H$20,Nutrients!$H$21)))))*E$7))+(SUMPRODUCT(E$8:E$79,Nutrients!$I$8:$I$79)+(IF($A$6=Nutrients!$A$8,Nutrients!$I$8,Nutrients!$I$9)*E$6)+(((IF($A$7=Nutrients!$A$19,Nutrients!$I$19,(IF($A$7=Nutrients!$A$20,Nutrients!$I$20,Nutrients!$I$21)))))*E$7)))/2000/E$85</f>
        <v>0.6501351303556685</v>
      </c>
      <c r="F155" s="92">
        <f>((SUMPRODUCT(F$8:F$79,Nutrients!$H$8:$H$79)+(IF($A$6=Nutrients!$A$8,Nutrients!$H$8,Nutrients!$H$9)*F$6)+(((IF($A$7=Nutrients!$A$19,Nutrients!$H$19,(IF($A$7=Nutrients!$A$20,Nutrients!$H$20,Nutrients!$H$21)))))*F$7))+(SUMPRODUCT(F$8:F$79,Nutrients!$I$8:$I$79)+(IF($A$6=Nutrients!$A$8,Nutrients!$I$8,Nutrients!$I$9)*F$6)+(((IF($A$7=Nutrients!$A$19,Nutrients!$I$19,(IF($A$7=Nutrients!$A$20,Nutrients!$I$20,Nutrients!$I$21)))))*F$7)))/2000/F$85</f>
        <v>0.6794960166285976</v>
      </c>
      <c r="G155" s="92"/>
      <c r="I155" s="92">
        <f>((SUMPRODUCT(I$8:I$79,Nutrients!$H$8:$H$79)+(IF($A$6=Nutrients!$A$8,Nutrients!$H$8,Nutrients!$H$9)*I$6)+(((IF($A$7=Nutrients!$A$19,Nutrients!$H$19,(IF($A$7=Nutrients!$A$20,Nutrients!$H$20,Nutrients!$H$21)))))*I$7))+(SUMPRODUCT(I$8:I$79,Nutrients!$I$8:$I$79)+(IF($A$6=Nutrients!$A$8,Nutrients!$I$8,Nutrients!$I$9)*I$6)+(((IF($A$7=Nutrients!$A$19,Nutrients!$I$19,(IF($A$7=Nutrients!$A$20,Nutrients!$I$20,Nutrients!$I$21)))))*I$7)))/2000/I$85</f>
        <v>0.5608501665549388</v>
      </c>
      <c r="J155" s="92">
        <f>((SUMPRODUCT(J$8:J$79,Nutrients!$H$8:$H$79)+(IF($A$6=Nutrients!$A$8,Nutrients!$H$8,Nutrients!$H$9)*J$6)+(((IF($A$7=Nutrients!$A$19,Nutrients!$H$19,(IF($A$7=Nutrients!$A$20,Nutrients!$H$20,Nutrients!$H$21)))))*J$7))+(SUMPRODUCT(J$8:J$79,Nutrients!$I$8:$I$79)+(IF($A$6=Nutrients!$A$8,Nutrients!$I$8,Nutrients!$I$9)*J$6)+(((IF($A$7=Nutrients!$A$19,Nutrients!$I$19,(IF($A$7=Nutrients!$A$20,Nutrients!$I$20,Nutrients!$I$21)))))*J$7)))/2000/J$85</f>
        <v>0.5838772247363357</v>
      </c>
      <c r="K155" s="92">
        <f>((SUMPRODUCT(K$8:K$79,Nutrients!$H$8:$H$79)+(IF($A$6=Nutrients!$A$8,Nutrients!$H$8,Nutrients!$H$9)*K$6)+(((IF($A$7=Nutrients!$A$19,Nutrients!$H$19,(IF($A$7=Nutrients!$A$20,Nutrients!$H$20,Nutrients!$H$21)))))*K$7))+(SUMPRODUCT(K$8:K$79,Nutrients!$I$8:$I$79)+(IF($A$6=Nutrients!$A$8,Nutrients!$I$8,Nutrients!$I$9)*K$6)+(((IF($A$7=Nutrients!$A$19,Nutrients!$I$19,(IF($A$7=Nutrients!$A$20,Nutrients!$I$20,Nutrients!$I$21)))))*K$7)))/2000/K$85</f>
        <v>0.6138557315813482</v>
      </c>
      <c r="L155" s="92">
        <f>((SUMPRODUCT(L$8:L$79,Nutrients!$H$8:$H$79)+(IF($A$6=Nutrients!$A$8,Nutrients!$H$8,Nutrients!$H$9)*L$6)+(((IF($A$7=Nutrients!$A$19,Nutrients!$H$19,(IF($A$7=Nutrients!$A$20,Nutrients!$H$20,Nutrients!$H$21)))))*L$7))+(SUMPRODUCT(L$8:L$79,Nutrients!$I$8:$I$79)+(IF($A$6=Nutrients!$A$8,Nutrients!$I$8,Nutrients!$I$9)*L$6)+(((IF($A$7=Nutrients!$A$19,Nutrients!$I$19,(IF($A$7=Nutrients!$A$20,Nutrients!$I$20,Nutrients!$I$21)))))*L$7)))/2000/L$85</f>
        <v>0.6496891184501277</v>
      </c>
      <c r="M155" s="92">
        <f>((SUMPRODUCT(M$8:M$79,Nutrients!$H$8:$H$79)+(IF($A$6=Nutrients!$A$8,Nutrients!$H$8,Nutrients!$H$9)*M$6)+(((IF($A$7=Nutrients!$A$19,Nutrients!$H$19,(IF($A$7=Nutrients!$A$20,Nutrients!$H$20,Nutrients!$H$21)))))*M$7))+(SUMPRODUCT(M$8:M$79,Nutrients!$I$8:$I$79)+(IF($A$6=Nutrients!$A$8,Nutrients!$I$8,Nutrients!$I$9)*M$6)+(((IF($A$7=Nutrients!$A$19,Nutrients!$I$19,(IF($A$7=Nutrients!$A$20,Nutrients!$I$20,Nutrients!$I$21)))))*M$7)))/2000/M$85</f>
        <v>0.6787867697274532</v>
      </c>
    </row>
    <row r="156" spans="1:13" ht="12.75">
      <c r="A156" s="12" t="s">
        <v>55</v>
      </c>
      <c r="B156" s="92">
        <f>(SUMPRODUCT(B$8:B$79,Nutrients!$J$8:$J$79)+(IF($A$6=Nutrients!$A$8,Nutrients!$J$8,Nutrients!$J$9)*B$6)+(((IF($A$7=Nutrients!$A$19,Nutrients!$J$19,(IF($A$7=Nutrients!$A$20,Nutrients!$J$20,Nutrients!$J$21)))))*B$7))/2000/B$85</f>
        <v>0.6279040307912613</v>
      </c>
      <c r="C156" s="92">
        <f>(SUMPRODUCT(C$8:C$79,Nutrients!$J$8:$J$79)+(IF($A$6=Nutrients!$A$8,Nutrients!$J$8,Nutrients!$J$9)*C$6)+(((IF($A$7=Nutrients!$A$19,Nutrients!$J$19,(IF($A$7=Nutrients!$A$20,Nutrients!$J$20,Nutrients!$J$21)))))*C$7))/2000/C$85</f>
        <v>0.6360176828126121</v>
      </c>
      <c r="D156" s="92">
        <f>(SUMPRODUCT(D$8:D$79,Nutrients!$J$8:$J$79)+(IF($A$6=Nutrients!$A$8,Nutrients!$J$8,Nutrients!$J$9)*D$6)+(((IF($A$7=Nutrients!$A$19,Nutrients!$J$19,(IF($A$7=Nutrients!$A$20,Nutrients!$J$20,Nutrients!$J$21)))))*D$7))/2000/D$85</f>
        <v>0.6465743450036848</v>
      </c>
      <c r="E156" s="92">
        <f>(SUMPRODUCT(E$8:E$79,Nutrients!$J$8:$J$79)+(IF($A$6=Nutrients!$A$8,Nutrients!$J$8,Nutrients!$J$9)*E$6)+(((IF($A$7=Nutrients!$A$19,Nutrients!$J$19,(IF($A$7=Nutrients!$A$20,Nutrients!$J$20,Nutrients!$J$21)))))*E$7))/2000/E$85</f>
        <v>0.6592153902254897</v>
      </c>
      <c r="F156" s="92">
        <f>(SUMPRODUCT(F$8:F$79,Nutrients!$J$8:$J$79)+(IF($A$6=Nutrients!$A$8,Nutrients!$J$8,Nutrients!$J$9)*F$6)+(((IF($A$7=Nutrients!$A$19,Nutrients!$J$19,(IF($A$7=Nutrients!$A$20,Nutrients!$J$20,Nutrients!$J$21)))))*F$7))/2000/F$85</f>
        <v>0.6694484677104168</v>
      </c>
      <c r="G156" s="92"/>
      <c r="I156" s="92">
        <f>(SUMPRODUCT(I$8:I$79,Nutrients!$J$8:$J$79)+(IF($A$6=Nutrients!$A$8,Nutrients!$J$8,Nutrients!$J$9)*I$6)+(((IF($A$7=Nutrients!$A$19,Nutrients!$J$19,(IF($A$7=Nutrients!$A$20,Nutrients!$J$20,Nutrients!$J$21)))))*I$7))/2000/I$85</f>
        <v>0.6294823320560966</v>
      </c>
      <c r="J156" s="92">
        <f>(SUMPRODUCT(J$8:J$79,Nutrients!$J$8:$J$79)+(IF($A$6=Nutrients!$A$8,Nutrients!$J$8,Nutrients!$J$9)*J$6)+(((IF($A$7=Nutrients!$A$19,Nutrients!$J$19,(IF($A$7=Nutrients!$A$20,Nutrients!$J$20,Nutrients!$J$21)))))*J$7))/2000/J$85</f>
        <v>0.6374515202006218</v>
      </c>
      <c r="K156" s="92">
        <f>(SUMPRODUCT(K$8:K$79,Nutrients!$J$8:$J$79)+(IF($A$6=Nutrients!$A$8,Nutrients!$J$8,Nutrients!$J$9)*K$6)+(((IF($A$7=Nutrients!$A$19,Nutrients!$J$19,(IF($A$7=Nutrients!$A$20,Nutrients!$J$20,Nutrients!$J$21)))))*K$7))/2000/K$85</f>
        <v>0.6478698874260522</v>
      </c>
      <c r="L156" s="92">
        <f>(SUMPRODUCT(L$8:L$79,Nutrients!$J$8:$J$79)+(IF($A$6=Nutrients!$A$8,Nutrients!$J$8,Nutrients!$J$9)*L$6)+(((IF($A$7=Nutrients!$A$19,Nutrients!$J$19,(IF($A$7=Nutrients!$A$20,Nutrients!$J$20,Nutrients!$J$21)))))*L$7))/2000/L$85</f>
        <v>0.6605742545229673</v>
      </c>
      <c r="M156" s="92">
        <f>(SUMPRODUCT(M$8:M$79,Nutrients!$J$8:$J$79)+(IF($A$6=Nutrients!$A$8,Nutrients!$J$8,Nutrients!$J$9)*M$6)+(((IF($A$7=Nutrients!$A$19,Nutrients!$J$19,(IF($A$7=Nutrients!$A$20,Nutrients!$J$20,Nutrients!$J$21)))))*M$7))/2000/M$85</f>
        <v>0.6710189612326867</v>
      </c>
    </row>
    <row r="157" spans="1:13" ht="12.75">
      <c r="A157" s="12" t="s">
        <v>36</v>
      </c>
      <c r="B157" s="92">
        <f>(SUMPRODUCT(B$8:B$79,Nutrients!$K$8:$K$79)+(IF($A$6=Nutrients!$A$8,Nutrients!$K$8,Nutrients!$K$9)*B$6)+(((IF($A$7=Nutrients!$A$19,Nutrients!$K$19,(IF($A$7=Nutrients!$A$20,Nutrients!$K$20,Nutrients!$K$21)))))*B$7))/2000/B$85</f>
        <v>0.19586208529196095</v>
      </c>
      <c r="C157" s="92">
        <f>(SUMPRODUCT(C$8:C$79,Nutrients!$K$8:$K$79)+(IF($A$6=Nutrients!$A$8,Nutrients!$K$8,Nutrients!$K$9)*C$6)+(((IF($A$7=Nutrients!$A$19,Nutrients!$K$19,(IF($A$7=Nutrients!$A$20,Nutrients!$K$20,Nutrients!$K$21)))))*C$7))/2000/C$85</f>
        <v>0.19358823440736478</v>
      </c>
      <c r="D157" s="92">
        <f>(SUMPRODUCT(D$8:D$79,Nutrients!$K$8:$K$79)+(IF($A$6=Nutrients!$A$8,Nutrients!$K$8,Nutrients!$K$9)*D$6)+(((IF($A$7=Nutrients!$A$19,Nutrients!$K$19,(IF($A$7=Nutrients!$A$20,Nutrients!$K$20,Nutrients!$K$21)))))*D$7))/2000/D$85</f>
        <v>0.19065437938244317</v>
      </c>
      <c r="E157" s="92">
        <f>(SUMPRODUCT(E$8:E$79,Nutrients!$K$8:$K$79)+(IF($A$6=Nutrients!$A$8,Nutrients!$K$8,Nutrients!$K$9)*E$6)+(((IF($A$7=Nutrients!$A$19,Nutrients!$K$19,(IF($A$7=Nutrients!$A$20,Nutrients!$K$20,Nutrients!$K$21)))))*E$7))/2000/E$85</f>
        <v>0.18709181912533587</v>
      </c>
      <c r="F157" s="92">
        <f>(SUMPRODUCT(F$8:F$79,Nutrients!$K$8:$K$79)+(IF($A$6=Nutrients!$A$8,Nutrients!$K$8,Nutrients!$K$9)*F$6)+(((IF($A$7=Nutrients!$A$19,Nutrients!$K$19,(IF($A$7=Nutrients!$A$20,Nutrients!$K$20,Nutrients!$K$21)))))*F$7))/2000/F$85</f>
        <v>0.18418770823500563</v>
      </c>
      <c r="G157" s="92"/>
      <c r="I157" s="92">
        <f>(SUMPRODUCT(I$8:I$79,Nutrients!$K$8:$K$79)+(IF($A$6=Nutrients!$A$8,Nutrients!$K$8,Nutrients!$K$9)*I$6)+(((IF($A$7=Nutrients!$A$19,Nutrients!$K$19,(IF($A$7=Nutrients!$A$20,Nutrients!$K$20,Nutrients!$K$21)))))*I$7))/2000/I$85</f>
        <v>0.18936743407829207</v>
      </c>
      <c r="J157" s="92">
        <f>(SUMPRODUCT(J$8:J$79,Nutrients!$K$8:$K$79)+(IF($A$6=Nutrients!$A$8,Nutrients!$K$8,Nutrients!$K$9)*J$6)+(((IF($A$7=Nutrients!$A$19,Nutrients!$K$19,(IF($A$7=Nutrients!$A$20,Nutrients!$K$20,Nutrients!$K$21)))))*J$7))/2000/J$85</f>
        <v>0.1875004106465276</v>
      </c>
      <c r="K157" s="92">
        <f>(SUMPRODUCT(K$8:K$79,Nutrients!$K$8:$K$79)+(IF($A$6=Nutrients!$A$8,Nutrients!$K$8,Nutrients!$K$9)*K$6)+(((IF($A$7=Nutrients!$A$19,Nutrients!$K$19,(IF($A$7=Nutrients!$A$20,Nutrients!$K$20,Nutrients!$K$21)))))*K$7))/2000/K$85</f>
        <v>0.18509118811708403</v>
      </c>
      <c r="L157" s="92">
        <f>(SUMPRODUCT(L$8:L$79,Nutrients!$K$8:$K$79)+(IF($A$6=Nutrients!$A$8,Nutrients!$K$8,Nutrients!$K$9)*L$6)+(((IF($A$7=Nutrients!$A$19,Nutrients!$K$19,(IF($A$7=Nutrients!$A$20,Nutrients!$K$20,Nutrients!$K$21)))))*L$7))/2000/L$85</f>
        <v>0.18070045583081368</v>
      </c>
      <c r="M157" s="92">
        <f>(SUMPRODUCT(M$8:M$79,Nutrients!$K$8:$K$79)+(IF($A$6=Nutrients!$A$8,Nutrients!$K$8,Nutrients!$K$9)*M$6)+(((IF($A$7=Nutrients!$A$19,Nutrients!$K$19,(IF($A$7=Nutrients!$A$20,Nutrients!$K$20,Nutrients!$K$21)))))*M$7))/2000/M$85</f>
        <v>0.17660598106119882</v>
      </c>
    </row>
    <row r="158" spans="1:13" ht="12.75">
      <c r="A158" s="12" t="s">
        <v>56</v>
      </c>
      <c r="B158" s="92">
        <f>(SUMPRODUCT(B$8:B$79,Nutrients!$L$8:$L$79)+(IF($A$6=Nutrients!$A$8,Nutrients!$L$8,Nutrients!$L$9)*B$6)+(((IF($A$7=Nutrients!$A$19,Nutrients!$L$19,(IF($A$7=Nutrients!$A$20,Nutrients!$L$20,Nutrients!$L$21)))))*B$7))/2000/B$85</f>
        <v>0.7901471934914662</v>
      </c>
      <c r="C158" s="92">
        <f>(SUMPRODUCT(C$8:C$79,Nutrients!$L$8:$L$79)+(IF($A$6=Nutrients!$A$8,Nutrients!$L$8,Nutrients!$L$9)*C$6)+(((IF($A$7=Nutrients!$A$19,Nutrients!$L$19,(IF($A$7=Nutrients!$A$20,Nutrients!$L$20,Nutrients!$L$21)))))*C$7))/2000/C$85</f>
        <v>0.8043114674239379</v>
      </c>
      <c r="D158" s="92">
        <f>(SUMPRODUCT(D$8:D$79,Nutrients!$L$8:$L$79)+(IF($A$6=Nutrients!$A$8,Nutrients!$L$8,Nutrients!$L$9)*D$6)+(((IF($A$7=Nutrients!$A$19,Nutrients!$L$19,(IF($A$7=Nutrients!$A$20,Nutrients!$L$20,Nutrients!$L$21)))))*D$7))/2000/D$85</f>
        <v>0.8227203003009089</v>
      </c>
      <c r="E158" s="92">
        <f>(SUMPRODUCT(E$8:E$79,Nutrients!$L$8:$L$79)+(IF($A$6=Nutrients!$A$8,Nutrients!$L$8,Nutrients!$L$9)*E$6)+(((IF($A$7=Nutrients!$A$19,Nutrients!$L$19,(IF($A$7=Nutrients!$A$20,Nutrients!$L$20,Nutrients!$L$21)))))*E$7))/2000/E$85</f>
        <v>0.8448045793092008</v>
      </c>
      <c r="F158" s="92">
        <f>(SUMPRODUCT(F$8:F$79,Nutrients!$L$8:$L$79)+(IF($A$6=Nutrients!$A$8,Nutrients!$L$8,Nutrients!$L$9)*F$6)+(((IF($A$7=Nutrients!$A$19,Nutrients!$L$19,(IF($A$7=Nutrients!$A$20,Nutrients!$L$20,Nutrients!$L$21)))))*F$7))/2000/F$85</f>
        <v>0.8626986715784322</v>
      </c>
      <c r="G158" s="92"/>
      <c r="I158" s="92">
        <f>(SUMPRODUCT(I$8:I$79,Nutrients!$L$8:$L$79)+(IF($A$6=Nutrients!$A$8,Nutrients!$L$8,Nutrients!$L$9)*I$6)+(((IF($A$7=Nutrients!$A$19,Nutrients!$L$19,(IF($A$7=Nutrients!$A$20,Nutrients!$L$20,Nutrients!$L$21)))))*I$7))/2000/I$85</f>
        <v>0.7943447946389067</v>
      </c>
      <c r="J158" s="92">
        <f>(SUMPRODUCT(J$8:J$79,Nutrients!$L$8:$L$79)+(IF($A$6=Nutrients!$A$8,Nutrients!$L$8,Nutrients!$L$9)*J$6)+(((IF($A$7=Nutrients!$A$19,Nutrients!$L$19,(IF($A$7=Nutrients!$A$20,Nutrients!$L$20,Nutrients!$L$21)))))*J$7))/2000/J$85</f>
        <v>0.8081685306538443</v>
      </c>
      <c r="K158" s="92">
        <f>(SUMPRODUCT(K$8:K$79,Nutrients!$L$8:$L$79)+(IF($A$6=Nutrients!$A$8,Nutrients!$L$8,Nutrients!$L$9)*K$6)+(((IF($A$7=Nutrients!$A$19,Nutrients!$L$19,(IF($A$7=Nutrients!$A$20,Nutrients!$L$20,Nutrients!$L$21)))))*K$7))/2000/K$85</f>
        <v>0.8262117333639435</v>
      </c>
      <c r="L158" s="92">
        <f>(SUMPRODUCT(L$8:L$79,Nutrients!$L$8:$L$79)+(IF($A$6=Nutrients!$A$8,Nutrients!$L$8,Nutrients!$L$9)*L$6)+(((IF($A$7=Nutrients!$A$19,Nutrients!$L$19,(IF($A$7=Nutrients!$A$20,Nutrients!$L$20,Nutrients!$L$21)))))*L$7))/2000/L$85</f>
        <v>0.8486064103589357</v>
      </c>
      <c r="M158" s="92">
        <f>(SUMPRODUCT(M$8:M$79,Nutrients!$L$8:$L$79)+(IF($A$6=Nutrients!$A$8,Nutrients!$L$8,Nutrients!$L$9)*M$6)+(((IF($A$7=Nutrients!$A$19,Nutrients!$L$19,(IF($A$7=Nutrients!$A$20,Nutrients!$L$20,Nutrients!$L$21)))))*M$7))/2000/M$85</f>
        <v>0.8671312427604645</v>
      </c>
    </row>
    <row r="159" spans="2:13" ht="12.75">
      <c r="B159" s="28"/>
      <c r="C159" s="28"/>
      <c r="D159" s="28"/>
      <c r="E159" s="28"/>
      <c r="F159" s="28"/>
      <c r="G159" s="28"/>
      <c r="I159" s="28"/>
      <c r="J159" s="28"/>
      <c r="K159" s="28"/>
      <c r="L159" s="28"/>
      <c r="M159" s="28"/>
    </row>
    <row r="160" spans="1:13" ht="12.75">
      <c r="A160" s="21" t="s">
        <v>45</v>
      </c>
      <c r="B160" s="28"/>
      <c r="C160" s="28"/>
      <c r="D160" s="28"/>
      <c r="E160" s="28"/>
      <c r="F160" s="28"/>
      <c r="G160" s="28"/>
      <c r="I160" s="28"/>
      <c r="J160" s="28"/>
      <c r="K160" s="28"/>
      <c r="L160" s="28"/>
      <c r="M160" s="28"/>
    </row>
    <row r="161" spans="1:13" ht="12.75">
      <c r="A161" s="17" t="s">
        <v>15</v>
      </c>
      <c r="B161" s="98">
        <f>(SUMPRODUCT(B$8:B$79,Nutrients!$BH$8:$BH$79)+(IF($A$6=Nutrients!$A$8,Nutrients!$BH$8,Nutrients!$BH$9)*B$6)+(((IF($A$7=Nutrients!$A$19,Nutrients!$BH$19,(IF($A$7=Nutrients!$A$20,Nutrients!$BH$20,Nutrients!$BH$21)))))*B$7))/2000</f>
        <v>0.9750348808842241</v>
      </c>
      <c r="C161" s="98">
        <f>(SUMPRODUCT(C$8:C$79,Nutrients!$BH$8:$BH$79)+(IF($A$6=Nutrients!$A$8,Nutrients!$BH$8,Nutrients!$BH$9)*C$6)+(((IF($A$7=Nutrients!$A$19,Nutrients!$BH$19,(IF($A$7=Nutrients!$A$20,Nutrients!$BH$20,Nutrients!$BH$21)))))*C$7))/2000</f>
        <v>0.8607289891857506</v>
      </c>
      <c r="D161" s="98">
        <f>(SUMPRODUCT(D$8:D$79,Nutrients!$BH$8:$BH$79)+(IF($A$6=Nutrients!$A$8,Nutrients!$BH$8,Nutrients!$BH$9)*D$6)+(((IF($A$7=Nutrients!$A$19,Nutrients!$BH$19,(IF($A$7=Nutrients!$A$20,Nutrients!$BH$20,Nutrients!$BH$21)))))*D$7))/2000</f>
        <v>0.7464123272105598</v>
      </c>
      <c r="E161" s="98">
        <f>(SUMPRODUCT(E$8:E$79,Nutrients!$BH$8:$BH$79)+(IF($A$6=Nutrients!$A$8,Nutrients!$BH$8,Nutrients!$BH$9)*E$6)+(((IF($A$7=Nutrients!$A$19,Nutrients!$BH$19,(IF($A$7=Nutrients!$A$20,Nutrients!$BH$20,Nutrients!$BH$21)))))*E$7))/2000</f>
        <v>0.6416409017175573</v>
      </c>
      <c r="F161" s="98">
        <f>(SUMPRODUCT(F$8:F$79,Nutrients!$BH$8:$BH$79)+(IF($A$6=Nutrients!$A$8,Nutrients!$BH$8,Nutrients!$BH$9)*F$6)+(((IF($A$7=Nutrients!$A$19,Nutrients!$BH$19,(IF($A$7=Nutrients!$A$20,Nutrients!$BH$20,Nutrients!$BH$21)))))*F$7))/2000</f>
        <v>0.5749750302162852</v>
      </c>
      <c r="G161" s="98"/>
      <c r="I161" s="98">
        <f>(SUMPRODUCT(I$8:I$79,Nutrients!$BH$8:$BH$79)+(IF($A$6=Nutrients!$A$8,Nutrients!$BH$8,Nutrients!$BH$9)*I$6)+(((IF($A$7=Nutrients!$A$19,Nutrients!$BH$19,(IF($A$7=Nutrients!$A$20,Nutrients!$BH$20,Nutrients!$BH$21)))))*I$7))/2000</f>
        <v>0.9738007922630411</v>
      </c>
      <c r="J161" s="98">
        <f>(SUMPRODUCT(J$8:J$79,Nutrients!$BH$8:$BH$79)+(IF($A$6=Nutrients!$A$8,Nutrients!$BH$8,Nutrients!$BH$9)*J$6)+(((IF($A$7=Nutrients!$A$19,Nutrients!$BH$19,(IF($A$7=Nutrients!$A$20,Nutrients!$BH$20,Nutrients!$BH$21)))))*J$7))/2000</f>
        <v>0.8596996844783719</v>
      </c>
      <c r="K161" s="98">
        <f>(SUMPRODUCT(K$8:K$79,Nutrients!$BH$8:$BH$79)+(IF($A$6=Nutrients!$A$8,Nutrients!$BH$8,Nutrients!$BH$9)*K$6)+(((IF($A$7=Nutrients!$A$19,Nutrients!$BH$19,(IF($A$7=Nutrients!$A$20,Nutrients!$BH$20,Nutrients!$BH$21)))))*K$7))/2000</f>
        <v>0.7455824212786261</v>
      </c>
      <c r="L161" s="98">
        <f>(SUMPRODUCT(L$8:L$79,Nutrients!$BH$8:$BH$79)+(IF($A$6=Nutrients!$A$8,Nutrients!$BH$8,Nutrients!$BH$9)*L$6)+(((IF($A$7=Nutrients!$A$19,Nutrients!$BH$19,(IF($A$7=Nutrients!$A$20,Nutrients!$BH$20,Nutrients!$BH$21)))))*L$7))/2000</f>
        <v>0.6408163809239826</v>
      </c>
      <c r="M161" s="98">
        <f>(SUMPRODUCT(M$8:M$79,Nutrients!$BH$8:$BH$79)+(IF($A$6=Nutrients!$A$8,Nutrients!$BH$8,Nutrients!$BH$9)*M$6)+(((IF($A$7=Nutrients!$A$19,Nutrients!$BH$19,(IF($A$7=Nutrients!$A$20,Nutrients!$BH$20,Nutrients!$BH$21)))))*M$7))/2000</f>
        <v>0.5740842276240457</v>
      </c>
    </row>
    <row r="162" spans="1:13" ht="12.75">
      <c r="A162" s="18" t="s">
        <v>31</v>
      </c>
      <c r="B162" s="92">
        <f>(SUMPRODUCT(B$8:B$79,Nutrients!$BI$8:$BI$79)+(IF($A$6=Nutrients!$A$8,Nutrients!$BI$8,Nutrients!$BI$9)*B$6)+(((IF($A$7=Nutrients!$A$19,Nutrients!$BI$19,(IF($A$7=Nutrients!$A$20,Nutrients!$BI$20,Nutrients!$BI$21)))))*B$7))/2000/B$161</f>
        <v>0.6919673136486478</v>
      </c>
      <c r="C162" s="92">
        <f>(SUMPRODUCT(C$8:C$79,Nutrients!$BI$8:$BI$79)+(IF($A$6=Nutrients!$A$8,Nutrients!$BI$8,Nutrients!$BI$9)*C$6)+(((IF($A$7=Nutrients!$A$19,Nutrients!$BI$19,(IF($A$7=Nutrients!$A$20,Nutrients!$BI$20,Nutrients!$BI$21)))))*C$7))/2000/C$161</f>
        <v>0.6956586393968223</v>
      </c>
      <c r="D162" s="92">
        <f>(SUMPRODUCT(D$8:D$79,Nutrients!$BI$8:$BI$79)+(IF($A$6=Nutrients!$A$8,Nutrients!$BI$8,Nutrients!$BI$9)*D$6)+(((IF($A$7=Nutrients!$A$19,Nutrients!$BI$19,(IF($A$7=Nutrients!$A$20,Nutrients!$BI$20,Nutrients!$BI$21)))))*D$7))/2000/D$161</f>
        <v>0.7005527629107018</v>
      </c>
      <c r="E162" s="92">
        <f>(SUMPRODUCT(E$8:E$79,Nutrients!$BI$8:$BI$79)+(IF($A$6=Nutrients!$A$8,Nutrients!$BI$8,Nutrients!$BI$9)*E$6)+(((IF($A$7=Nutrients!$A$19,Nutrients!$BI$19,(IF($A$7=Nutrients!$A$20,Nutrients!$BI$20,Nutrients!$BI$21)))))*E$7))/2000/E$161</f>
        <v>0.7064238335791808</v>
      </c>
      <c r="F162" s="92">
        <f>(SUMPRODUCT(F$8:F$79,Nutrients!$BI$8:$BI$79)+(IF($A$6=Nutrients!$A$8,Nutrients!$BI$8,Nutrients!$BI$9)*F$6)+(((IF($A$7=Nutrients!$A$19,Nutrients!$BI$19,(IF($A$7=Nutrients!$A$20,Nutrients!$BI$20,Nutrients!$BI$21)))))*F$7))/2000/F$161</f>
        <v>0.7112142116781104</v>
      </c>
      <c r="G162" s="92"/>
      <c r="I162" s="92">
        <f>(SUMPRODUCT(I$8:I$79,Nutrients!$BI$8:$BI$79)+(IF($A$6=Nutrients!$A$8,Nutrients!$BI$8,Nutrients!$BI$9)*I$6)+(((IF($A$7=Nutrients!$A$19,Nutrients!$BI$19,(IF($A$7=Nutrients!$A$20,Nutrients!$BI$20,Nutrients!$BI$21)))))*I$7))/2000/I$161</f>
        <v>0.682374944584798</v>
      </c>
      <c r="J162" s="92">
        <f>(SUMPRODUCT(J$8:J$79,Nutrients!$BI$8:$BI$79)+(IF($A$6=Nutrients!$A$8,Nutrients!$BI$8,Nutrients!$BI$9)*J$6)+(((IF($A$7=Nutrients!$A$19,Nutrients!$BI$19,(IF($A$7=Nutrients!$A$20,Nutrients!$BI$20,Nutrients!$BI$21)))))*J$7))/2000/J$161</f>
        <v>0.6866137028690084</v>
      </c>
      <c r="K162" s="92">
        <f>(SUMPRODUCT(K$8:K$79,Nutrients!$BI$8:$BI$79)+(IF($A$6=Nutrients!$A$8,Nutrients!$BI$8,Nutrients!$BI$9)*K$6)+(((IF($A$7=Nutrients!$A$19,Nutrients!$BI$19,(IF($A$7=Nutrients!$A$20,Nutrients!$BI$20,Nutrients!$BI$21)))))*K$7))/2000/K$161</f>
        <v>0.6922580878106044</v>
      </c>
      <c r="L162" s="92">
        <f>(SUMPRODUCT(L$8:L$79,Nutrients!$BI$8:$BI$79)+(IF($A$6=Nutrients!$A$8,Nutrients!$BI$8,Nutrients!$BI$9)*L$6)+(((IF($A$7=Nutrients!$A$19,Nutrients!$BI$19,(IF($A$7=Nutrients!$A$20,Nutrients!$BI$20,Nutrients!$BI$21)))))*L$7))/2000/L$161</f>
        <v>0.6967385617204556</v>
      </c>
      <c r="M162" s="92">
        <f>(SUMPRODUCT(M$8:M$79,Nutrients!$BI$8:$BI$79)+(IF($A$6=Nutrients!$A$8,Nutrients!$BI$8,Nutrients!$BI$9)*M$6)+(((IF($A$7=Nutrients!$A$19,Nutrients!$BI$19,(IF($A$7=Nutrients!$A$20,Nutrients!$BI$20,Nutrients!$BI$21)))))*M$7))/2000/M$161</f>
        <v>0.699638500121009</v>
      </c>
    </row>
    <row r="163" spans="1:13" ht="12.75">
      <c r="A163" s="18" t="s">
        <v>32</v>
      </c>
      <c r="B163" s="92">
        <f>(SUMPRODUCT(B$8:B$79,Nutrients!$BJ$8:$BJ$79)+(IF($A$6=Nutrients!$A$8,Nutrients!$BJ$8,Nutrients!$BJ$9)*B$6)+(((IF($A$7=Nutrients!$A$19,Nutrients!$BJ$19,(IF($A$7=Nutrients!$A$20,Nutrients!$BJ$20,Nutrients!$BJ$21)))))*B$7))/2000/B$161</f>
        <v>1.5233527382919942</v>
      </c>
      <c r="C163" s="92">
        <f>(SUMPRODUCT(C$8:C$79,Nutrients!$BJ$8:$BJ$79)+(IF($A$6=Nutrients!$A$8,Nutrients!$BJ$8,Nutrients!$BJ$9)*C$6)+(((IF($A$7=Nutrients!$A$19,Nutrients!$BJ$19,(IF($A$7=Nutrients!$A$20,Nutrients!$BJ$20,Nutrients!$BJ$21)))))*C$7))/2000/C$161</f>
        <v>1.604339026275017</v>
      </c>
      <c r="D163" s="92">
        <f>(SUMPRODUCT(D$8:D$79,Nutrients!$BJ$8:$BJ$79)+(IF($A$6=Nutrients!$A$8,Nutrients!$BJ$8,Nutrients!$BJ$9)*D$6)+(((IF($A$7=Nutrients!$A$19,Nutrients!$BJ$19,(IF($A$7=Nutrients!$A$20,Nutrients!$BJ$20,Nutrients!$BJ$21)))))*D$7))/2000/D$161</f>
        <v>1.7106187729838893</v>
      </c>
      <c r="E163" s="92">
        <f>(SUMPRODUCT(E$8:E$79,Nutrients!$BJ$8:$BJ$79)+(IF($A$6=Nutrients!$A$8,Nutrients!$BJ$8,Nutrients!$BJ$9)*E$6)+(((IF($A$7=Nutrients!$A$19,Nutrients!$BJ$19,(IF($A$7=Nutrients!$A$20,Nutrients!$BJ$20,Nutrients!$BJ$21)))))*E$7))/2000/E$161</f>
        <v>1.8403109162217548</v>
      </c>
      <c r="F163" s="92">
        <f>(SUMPRODUCT(F$8:F$79,Nutrients!$BJ$8:$BJ$79)+(IF($A$6=Nutrients!$A$8,Nutrients!$BJ$8,Nutrients!$BJ$9)*F$6)+(((IF($A$7=Nutrients!$A$19,Nutrients!$BJ$19,(IF($A$7=Nutrients!$A$20,Nutrients!$BJ$20,Nutrients!$BJ$21)))))*F$7))/2000/F$161</f>
        <v>1.947044485411731</v>
      </c>
      <c r="G163" s="92"/>
      <c r="I163" s="92">
        <f>(SUMPRODUCT(I$8:I$79,Nutrients!$BJ$8:$BJ$79)+(IF($A$6=Nutrients!$A$8,Nutrients!$BJ$8,Nutrients!$BJ$9)*I$6)+(((IF($A$7=Nutrients!$A$19,Nutrients!$BJ$19,(IF($A$7=Nutrients!$A$20,Nutrients!$BJ$20,Nutrients!$BJ$21)))))*I$7))/2000/I$161</f>
        <v>1.5271579405358253</v>
      </c>
      <c r="J163" s="92">
        <f>(SUMPRODUCT(J$8:J$79,Nutrients!$BJ$8:$BJ$79)+(IF($A$6=Nutrients!$A$8,Nutrients!$BJ$8,Nutrients!$BJ$9)*J$6)+(((IF($A$7=Nutrients!$A$19,Nutrients!$BJ$19,(IF($A$7=Nutrients!$A$20,Nutrients!$BJ$20,Nutrients!$BJ$21)))))*J$7))/2000/J$161</f>
        <v>1.608063058270872</v>
      </c>
      <c r="K163" s="92">
        <f>(SUMPRODUCT(K$8:K$79,Nutrients!$BJ$8:$BJ$79)+(IF($A$6=Nutrients!$A$8,Nutrients!$BJ$8,Nutrients!$BJ$9)*K$6)+(((IF($A$7=Nutrients!$A$19,Nutrients!$BJ$19,(IF($A$7=Nutrients!$A$20,Nutrients!$BJ$20,Nutrients!$BJ$21)))))*K$7))/2000/K$161</f>
        <v>1.7144652638178621</v>
      </c>
      <c r="L163" s="92">
        <f>(SUMPRODUCT(L$8:L$79,Nutrients!$BJ$8:$BJ$79)+(IF($A$6=Nutrients!$A$8,Nutrients!$BJ$8,Nutrients!$BJ$9)*L$6)+(((IF($A$7=Nutrients!$A$19,Nutrients!$BJ$19,(IF($A$7=Nutrients!$A$20,Nutrients!$BJ$20,Nutrients!$BJ$21)))))*L$7))/2000/L$161</f>
        <v>1.8446681843261483</v>
      </c>
      <c r="M163" s="92">
        <f>(SUMPRODUCT(M$8:M$79,Nutrients!$BJ$8:$BJ$79)+(IF($A$6=Nutrients!$A$8,Nutrients!$BJ$8,Nutrients!$BJ$9)*M$6)+(((IF($A$7=Nutrients!$A$19,Nutrients!$BJ$19,(IF($A$7=Nutrients!$A$20,Nutrients!$BJ$20,Nutrients!$BJ$21)))))*M$7))/2000/M$161</f>
        <v>1.9527020611935006</v>
      </c>
    </row>
    <row r="164" spans="1:13" ht="12.75">
      <c r="A164" s="19" t="s">
        <v>33</v>
      </c>
      <c r="B164" s="92">
        <f>(SUMPRODUCT(B$8:B$79,Nutrients!$BK$8:$BK$79)+(IF($A$6=Nutrients!$A$8,Nutrients!$BK$8,Nutrients!$BK$9)*B$6)+(((IF($A$7=Nutrients!$A$19,Nutrients!$BK$19,(IF($A$7=Nutrients!$A$20,Nutrients!$BK$20,Nutrients!$BK$21)))))*B$7))/2000/B$161</f>
        <v>0.2734330477027817</v>
      </c>
      <c r="C164" s="92">
        <f>(SUMPRODUCT(C$8:C$79,Nutrients!$BK$8:$BK$79)+(IF($A$6=Nutrients!$A$8,Nutrients!$BK$8,Nutrients!$BK$9)*C$6)+(((IF($A$7=Nutrients!$A$19,Nutrients!$BK$19,(IF($A$7=Nutrients!$A$20,Nutrients!$BK$20,Nutrients!$BK$21)))))*C$7))/2000/C$161</f>
        <v>0.28604011740385427</v>
      </c>
      <c r="D164" s="92">
        <f>(SUMPRODUCT(D$8:D$79,Nutrients!$BK$8:$BK$79)+(IF($A$6=Nutrients!$A$8,Nutrients!$BK$8,Nutrients!$BK$9)*D$6)+(((IF($A$7=Nutrients!$A$19,Nutrients!$BK$19,(IF($A$7=Nutrients!$A$20,Nutrients!$BK$20,Nutrients!$BK$21)))))*D$7))/2000/D$161</f>
        <v>0.3025875102917714</v>
      </c>
      <c r="E164" s="92">
        <f>(SUMPRODUCT(E$8:E$79,Nutrients!$BK$8:$BK$79)+(IF($A$6=Nutrients!$A$8,Nutrients!$BK$8,Nutrients!$BK$9)*E$6)+(((IF($A$7=Nutrients!$A$19,Nutrients!$BK$19,(IF($A$7=Nutrients!$A$20,Nutrients!$BK$20,Nutrients!$BK$21)))))*E$7))/2000/E$161</f>
        <v>0.3227742343248</v>
      </c>
      <c r="F164" s="92">
        <f>(SUMPRODUCT(F$8:F$79,Nutrients!$BK$8:$BK$79)+(IF($A$6=Nutrients!$A$8,Nutrients!$BK$8,Nutrients!$BK$9)*F$6)+(((IF($A$7=Nutrients!$A$19,Nutrients!$BK$19,(IF($A$7=Nutrients!$A$20,Nutrients!$BK$20,Nutrients!$BK$21)))))*F$7))/2000/F$161</f>
        <v>0.3393850190402255</v>
      </c>
      <c r="G164" s="92"/>
      <c r="I164" s="92">
        <f>(SUMPRODUCT(I$8:I$79,Nutrients!$BK$8:$BK$79)+(IF($A$6=Nutrients!$A$8,Nutrients!$BK$8,Nutrients!$BK$9)*I$6)+(((IF($A$7=Nutrients!$A$19,Nutrients!$BK$19,(IF($A$7=Nutrients!$A$20,Nutrients!$BK$20,Nutrients!$BK$21)))))*I$7))/2000/I$161</f>
        <v>0.27754871432774253</v>
      </c>
      <c r="J164" s="92">
        <f>(SUMPRODUCT(J$8:J$79,Nutrients!$BK$8:$BK$79)+(IF($A$6=Nutrients!$A$8,Nutrients!$BK$8,Nutrients!$BK$9)*J$6)+(((IF($A$7=Nutrients!$A$19,Nutrients!$BK$19,(IF($A$7=Nutrients!$A$20,Nutrients!$BK$20,Nutrients!$BK$21)))))*J$7))/2000/J$161</f>
        <v>0.2899458245043828</v>
      </c>
      <c r="K164" s="92">
        <f>(SUMPRODUCT(K$8:K$79,Nutrients!$BK$8:$BK$79)+(IF($A$6=Nutrients!$A$8,Nutrients!$BK$8,Nutrients!$BK$9)*K$6)+(((IF($A$7=Nutrients!$A$19,Nutrients!$BK$19,(IF($A$7=Nutrients!$A$20,Nutrients!$BK$20,Nutrients!$BK$21)))))*K$7))/2000/K$161</f>
        <v>0.30625608941772303</v>
      </c>
      <c r="L164" s="92">
        <f>(SUMPRODUCT(L$8:L$79,Nutrients!$BK$8:$BK$79)+(IF($A$6=Nutrients!$A$8,Nutrients!$BK$8,Nutrients!$BK$9)*L$6)+(((IF($A$7=Nutrients!$A$19,Nutrients!$BK$19,(IF($A$7=Nutrients!$A$20,Nutrients!$BK$20,Nutrients!$BK$21)))))*L$7))/2000/L$161</f>
        <v>0.3270225038555295</v>
      </c>
      <c r="M164" s="92">
        <f>(SUMPRODUCT(M$8:M$79,Nutrients!$BK$8:$BK$79)+(IF($A$6=Nutrients!$A$8,Nutrients!$BK$8,Nutrients!$BK$9)*M$6)+(((IF($A$7=Nutrients!$A$19,Nutrients!$BK$19,(IF($A$7=Nutrients!$A$20,Nutrients!$BK$20,Nutrients!$BK$21)))))*M$7))/2000/M$161</f>
        <v>0.3445511104343081</v>
      </c>
    </row>
    <row r="165" spans="1:13" ht="12.75">
      <c r="A165" s="19" t="s">
        <v>34</v>
      </c>
      <c r="B165" s="92">
        <f>((SUMPRODUCT(B$8:B$79,Nutrients!$BK$8:$BK$79)+(IF($A$6=Nutrients!$A$8,Nutrients!$BK$8,Nutrients!$BK$9)*B$6)+(((IF($A$7=Nutrients!$A$19,Nutrients!$BK$19,(IF($A$7=Nutrients!$A$20,Nutrients!$BK$20,Nutrients!$BK$21)))))*B$7))+(SUMPRODUCT(B$8:B$79,Nutrients!$BL$8:$BL$79)+(IF($A$6=Nutrients!$A$8,Nutrients!$BL$8,Nutrients!$BL$9)*B$6)+(((IF($A$7=Nutrients!$A$19,Nutrients!$BL$19,(IF($A$7=Nutrients!$A$20,Nutrients!$BL$20,Nutrients!$BL$21)))))*B$7)))/2000/B$161</f>
        <v>0.5507594418641705</v>
      </c>
      <c r="C165" s="92">
        <f>((SUMPRODUCT(C$8:C$79,Nutrients!$BK$8:$BK$79)+(IF($A$6=Nutrients!$A$8,Nutrients!$BK$8,Nutrients!$BK$9)*C$6)+(((IF($A$7=Nutrients!$A$19,Nutrients!$BK$19,(IF($A$7=Nutrients!$A$20,Nutrients!$BK$20,Nutrients!$BK$21)))))*C$7))+(SUMPRODUCT(C$8:C$79,Nutrients!$BL$8:$BL$79)+(IF($A$6=Nutrients!$A$8,Nutrients!$BL$8,Nutrients!$BL$9)*C$6)+(((IF($A$7=Nutrients!$A$19,Nutrients!$BL$19,(IF($A$7=Nutrients!$A$20,Nutrients!$BL$20,Nutrients!$BL$21)))))*C$7)))/2000/C$161</f>
        <v>0.5761375967676302</v>
      </c>
      <c r="D165" s="92">
        <f>((SUMPRODUCT(D$8:D$79,Nutrients!$BK$8:$BK$79)+(IF($A$6=Nutrients!$A$8,Nutrients!$BK$8,Nutrients!$BK$9)*D$6)+(((IF($A$7=Nutrients!$A$19,Nutrients!$BK$19,(IF($A$7=Nutrients!$A$20,Nutrients!$BK$20,Nutrients!$BK$21)))))*D$7))+(SUMPRODUCT(D$8:D$79,Nutrients!$BL$8:$BL$79)+(IF($A$6=Nutrients!$A$8,Nutrients!$BL$8,Nutrients!$BL$9)*D$6)+(((IF($A$7=Nutrients!$A$19,Nutrients!$BL$19,(IF($A$7=Nutrients!$A$20,Nutrients!$BL$20,Nutrients!$BL$21)))))*D$7)))/2000/D$161</f>
        <v>0.6094476878279205</v>
      </c>
      <c r="E165" s="92">
        <f>((SUMPRODUCT(E$8:E$79,Nutrients!$BK$8:$BK$79)+(IF($A$6=Nutrients!$A$8,Nutrients!$BK$8,Nutrients!$BK$9)*E$6)+(((IF($A$7=Nutrients!$A$19,Nutrients!$BK$19,(IF($A$7=Nutrients!$A$20,Nutrients!$BK$20,Nutrients!$BK$21)))))*E$7))+(SUMPRODUCT(E$8:E$79,Nutrients!$BL$8:$BL$79)+(IF($A$6=Nutrients!$A$8,Nutrients!$BL$8,Nutrients!$BL$9)*E$6)+(((IF($A$7=Nutrients!$A$19,Nutrients!$BL$19,(IF($A$7=Nutrients!$A$20,Nutrients!$BL$20,Nutrients!$BL$21)))))*E$7)))/2000/E$161</f>
        <v>0.650083739483155</v>
      </c>
      <c r="F165" s="92">
        <f>((SUMPRODUCT(F$8:F$79,Nutrients!$BK$8:$BK$79)+(IF($A$6=Nutrients!$A$8,Nutrients!$BK$8,Nutrients!$BK$9)*F$6)+(((IF($A$7=Nutrients!$A$19,Nutrients!$BK$19,(IF($A$7=Nutrients!$A$20,Nutrients!$BK$20,Nutrients!$BK$21)))))*F$7))+(SUMPRODUCT(F$8:F$79,Nutrients!$BL$8:$BL$79)+(IF($A$6=Nutrients!$A$8,Nutrients!$BL$8,Nutrients!$BL$9)*F$6)+(((IF($A$7=Nutrients!$A$19,Nutrients!$BL$19,(IF($A$7=Nutrients!$A$20,Nutrients!$BL$20,Nutrients!$BL$21)))))*F$7)))/2000/F$161</f>
        <v>0.6835213717475876</v>
      </c>
      <c r="G165" s="92"/>
      <c r="I165" s="92">
        <f>((SUMPRODUCT(I$8:I$79,Nutrients!$BK$8:$BK$79)+(IF($A$6=Nutrients!$A$8,Nutrients!$BK$8,Nutrients!$BK$9)*I$6)+(((IF($A$7=Nutrients!$A$19,Nutrients!$BK$19,(IF($A$7=Nutrients!$A$20,Nutrients!$BK$20,Nutrients!$BK$21)))))*I$7))+(SUMPRODUCT(I$8:I$79,Nutrients!$BL$8:$BL$79)+(IF($A$6=Nutrients!$A$8,Nutrients!$BL$8,Nutrients!$BL$9)*I$6)+(((IF($A$7=Nutrients!$A$19,Nutrients!$BL$19,(IF($A$7=Nutrients!$A$20,Nutrients!$BL$20,Nutrients!$BL$21)))))*I$7)))/2000/I$161</f>
        <v>0.5507313403464251</v>
      </c>
      <c r="J165" s="92">
        <f>((SUMPRODUCT(J$8:J$79,Nutrients!$BK$8:$BK$79)+(IF($A$6=Nutrients!$A$8,Nutrients!$BK$8,Nutrients!$BK$9)*J$6)+(((IF($A$7=Nutrients!$A$19,Nutrients!$BK$19,(IF($A$7=Nutrients!$A$20,Nutrients!$BK$20,Nutrients!$BK$21)))))*J$7))+(SUMPRODUCT(J$8:J$79,Nutrients!$BL$8:$BL$79)+(IF($A$6=Nutrients!$A$8,Nutrients!$BL$8,Nutrients!$BL$9)*J$6)+(((IF($A$7=Nutrients!$A$19,Nutrients!$BL$19,(IF($A$7=Nutrients!$A$20,Nutrients!$BL$20,Nutrients!$BL$21)))))*J$7)))/2000/J$161</f>
        <v>0.5761529134015364</v>
      </c>
      <c r="K165" s="92">
        <f>((SUMPRODUCT(K$8:K$79,Nutrients!$BK$8:$BK$79)+(IF($A$6=Nutrients!$A$8,Nutrients!$BK$8,Nutrients!$BK$9)*K$6)+(((IF($A$7=Nutrients!$A$19,Nutrients!$BK$19,(IF($A$7=Nutrients!$A$20,Nutrients!$BK$20,Nutrients!$BK$21)))))*K$7))+(SUMPRODUCT(K$8:K$79,Nutrients!$BL$8:$BL$79)+(IF($A$6=Nutrients!$A$8,Nutrients!$BL$8,Nutrients!$BL$9)*K$6)+(((IF($A$7=Nutrients!$A$19,Nutrients!$BL$19,(IF($A$7=Nutrients!$A$20,Nutrients!$BL$20,Nutrients!$BL$21)))))*K$7)))/2000/K$161</f>
        <v>0.609594236633318</v>
      </c>
      <c r="L165" s="92">
        <f>((SUMPRODUCT(L$8:L$79,Nutrients!$BK$8:$BK$79)+(IF($A$6=Nutrients!$A$8,Nutrients!$BK$8,Nutrients!$BK$9)*L$6)+(((IF($A$7=Nutrients!$A$19,Nutrients!$BK$19,(IF($A$7=Nutrients!$A$20,Nutrients!$BK$20,Nutrients!$BK$21)))))*L$7))+(SUMPRODUCT(L$8:L$79,Nutrients!$BL$8:$BL$79)+(IF($A$6=Nutrients!$A$8,Nutrients!$BL$8,Nutrients!$BL$9)*L$6)+(((IF($A$7=Nutrients!$A$19,Nutrients!$BL$19,(IF($A$7=Nutrients!$A$20,Nutrients!$BL$20,Nutrients!$BL$21)))))*L$7)))/2000/L$161</f>
        <v>0.6502138109567923</v>
      </c>
      <c r="M165" s="92">
        <f>((SUMPRODUCT(M$8:M$79,Nutrients!$BK$8:$BK$79)+(IF($A$6=Nutrients!$A$8,Nutrients!$BK$8,Nutrients!$BK$9)*M$6)+(((IF($A$7=Nutrients!$A$19,Nutrients!$BK$19,(IF($A$7=Nutrients!$A$20,Nutrients!$BK$20,Nutrients!$BK$21)))))*M$7))+(SUMPRODUCT(M$8:M$79,Nutrients!$BL$8:$BL$79)+(IF($A$6=Nutrients!$A$8,Nutrients!$BL$8,Nutrients!$BL$9)*M$6)+(((IF($A$7=Nutrients!$A$19,Nutrients!$BL$19,(IF($A$7=Nutrients!$A$20,Nutrients!$BL$20,Nutrients!$BL$21)))))*M$7)))/2000/M$161</f>
        <v>0.6838150388834541</v>
      </c>
    </row>
    <row r="166" spans="1:13" ht="12.75">
      <c r="A166" s="20" t="s">
        <v>35</v>
      </c>
      <c r="B166" s="92">
        <f>(SUMPRODUCT(B$8:B$79,Nutrients!$BM$8:$BM$79)+(IF($A$6=Nutrients!$A$8,Nutrients!$BM$8,Nutrients!$BM$9)*B$6)+(((IF($A$7=Nutrients!$A$19,Nutrients!$BM$19,(IF($A$7=Nutrients!$A$20,Nutrients!$BM$20,Nutrients!$BM$21)))))*B$7))/2000/B$161</f>
        <v>0.5674142800219463</v>
      </c>
      <c r="C166" s="92">
        <f>(SUMPRODUCT(C$8:C$79,Nutrients!$BM$8:$BM$79)+(IF($A$6=Nutrients!$A$8,Nutrients!$BM$8,Nutrients!$BM$9)*C$6)+(((IF($A$7=Nutrients!$A$19,Nutrients!$BM$19,(IF($A$7=Nutrients!$A$20,Nutrients!$BM$20,Nutrients!$BM$21)))))*C$7))/2000/C$161</f>
        <v>0.5739901203235567</v>
      </c>
      <c r="D166" s="92">
        <f>(SUMPRODUCT(D$8:D$79,Nutrients!$BM$8:$BM$79)+(IF($A$6=Nutrients!$A$8,Nutrients!$BM$8,Nutrients!$BM$9)*D$6)+(((IF($A$7=Nutrients!$A$19,Nutrients!$BM$19,(IF($A$7=Nutrients!$A$20,Nutrients!$BM$20,Nutrients!$BM$21)))))*D$7))/2000/D$161</f>
        <v>0.5826553018735602</v>
      </c>
      <c r="E166" s="92">
        <f>(SUMPRODUCT(E$8:E$79,Nutrients!$BM$8:$BM$79)+(IF($A$6=Nutrients!$A$8,Nutrients!$BM$8,Nutrients!$BM$9)*E$6)+(((IF($A$7=Nutrients!$A$19,Nutrients!$BM$19,(IF($A$7=Nutrients!$A$20,Nutrients!$BM$20,Nutrients!$BM$21)))))*E$7))/2000/E$161</f>
        <v>0.5931572202838451</v>
      </c>
      <c r="F166" s="92">
        <f>(SUMPRODUCT(F$8:F$79,Nutrients!$BM$8:$BM$79)+(IF($A$6=Nutrients!$A$8,Nutrients!$BM$8,Nutrients!$BM$9)*F$6)+(((IF($A$7=Nutrients!$A$19,Nutrients!$BM$19,(IF($A$7=Nutrients!$A$20,Nutrients!$BM$20,Nutrients!$BM$21)))))*F$7))/2000/F$161</f>
        <v>0.6017705606249928</v>
      </c>
      <c r="G166" s="92"/>
      <c r="I166" s="92">
        <f>(SUMPRODUCT(I$8:I$79,Nutrients!$BM$8:$BM$79)+(IF($A$6=Nutrients!$A$8,Nutrients!$BM$8,Nutrients!$BM$9)*I$6)+(((IF($A$7=Nutrients!$A$19,Nutrients!$BM$19,(IF($A$7=Nutrients!$A$20,Nutrients!$BM$20,Nutrients!$BM$21)))))*I$7))/2000/I$161</f>
        <v>0.569878355761848</v>
      </c>
      <c r="J166" s="92">
        <f>(SUMPRODUCT(J$8:J$79,Nutrients!$BM$8:$BM$79)+(IF($A$6=Nutrients!$A$8,Nutrients!$BM$8,Nutrients!$BM$9)*J$6)+(((IF($A$7=Nutrients!$A$19,Nutrients!$BM$19,(IF($A$7=Nutrients!$A$20,Nutrients!$BM$20,Nutrients!$BM$21)))))*J$7))/2000/J$161</f>
        <v>0.5763293543870115</v>
      </c>
      <c r="K166" s="92">
        <f>(SUMPRODUCT(K$8:K$79,Nutrients!$BM$8:$BM$79)+(IF($A$6=Nutrients!$A$8,Nutrients!$BM$8,Nutrients!$BM$9)*K$6)+(((IF($A$7=Nutrients!$A$19,Nutrients!$BM$19,(IF($A$7=Nutrients!$A$20,Nutrients!$BM$20,Nutrients!$BM$21)))))*K$7))/2000/K$161</f>
        <v>0.58486793063767</v>
      </c>
      <c r="L166" s="92">
        <f>(SUMPRODUCT(L$8:L$79,Nutrients!$BM$8:$BM$79)+(IF($A$6=Nutrients!$A$8,Nutrients!$BM$8,Nutrients!$BM$9)*L$6)+(((IF($A$7=Nutrients!$A$19,Nutrients!$BM$19,(IF($A$7=Nutrients!$A$20,Nutrients!$BM$20,Nutrients!$BM$21)))))*L$7))/2000/L$161</f>
        <v>0.5957012363485753</v>
      </c>
      <c r="M166" s="92">
        <f>(SUMPRODUCT(M$8:M$79,Nutrients!$BM$8:$BM$79)+(IF($A$6=Nutrients!$A$8,Nutrients!$BM$8,Nutrients!$BM$9)*M$6)+(((IF($A$7=Nutrients!$A$19,Nutrients!$BM$19,(IF($A$7=Nutrients!$A$20,Nutrients!$BM$20,Nutrients!$BM$21)))))*M$7))/2000/M$161</f>
        <v>0.6048771170891163</v>
      </c>
    </row>
    <row r="167" spans="1:13" ht="12.75">
      <c r="A167" s="20" t="s">
        <v>36</v>
      </c>
      <c r="B167" s="92">
        <f>(SUMPRODUCT(B$8:B$79,Nutrients!$BN$8:$BN$79)+(IF($A$6=Nutrients!$A$8,Nutrients!$BN$8,Nutrients!$BN$9)*B$6)+(((IF($A$7=Nutrients!$A$19,Nutrients!$BN$19,(IF($A$7=Nutrients!$A$20,Nutrients!$BN$20,Nutrients!$BN$21)))))*B$7))/2000/B$161</f>
        <v>0.1825672269275708</v>
      </c>
      <c r="C167" s="92">
        <f>(SUMPRODUCT(C$8:C$79,Nutrients!$BN$8:$BN$79)+(IF($A$6=Nutrients!$A$8,Nutrients!$BN$8,Nutrients!$BN$9)*C$6)+(((IF($A$7=Nutrients!$A$19,Nutrients!$BN$19,(IF($A$7=Nutrients!$A$20,Nutrients!$BN$20,Nutrients!$BN$21)))))*C$7))/2000/C$161</f>
        <v>0.17975605233811623</v>
      </c>
      <c r="D167" s="92">
        <f>(SUMPRODUCT(D$8:D$79,Nutrients!$BN$8:$BN$79)+(IF($A$6=Nutrients!$A$8,Nutrients!$BN$8,Nutrients!$BN$9)*D$6)+(((IF($A$7=Nutrients!$A$19,Nutrients!$BN$19,(IF($A$7=Nutrients!$A$20,Nutrients!$BN$20,Nutrients!$BN$21)))))*D$7))/2000/D$161</f>
        <v>0.17608578209432627</v>
      </c>
      <c r="E167" s="92">
        <f>(SUMPRODUCT(E$8:E$79,Nutrients!$BN$8:$BN$79)+(IF($A$6=Nutrients!$A$8,Nutrients!$BN$8,Nutrients!$BN$9)*E$6)+(((IF($A$7=Nutrients!$A$19,Nutrients!$BN$19,(IF($A$7=Nutrients!$A$20,Nutrients!$BN$20,Nutrients!$BN$21)))))*E$7))/2000/E$161</f>
        <v>0.17156871984938607</v>
      </c>
      <c r="F167" s="92">
        <f>(SUMPRODUCT(F$8:F$79,Nutrients!$BN$8:$BN$79)+(IF($A$6=Nutrients!$A$8,Nutrients!$BN$8,Nutrients!$BN$9)*F$6)+(((IF($A$7=Nutrients!$A$19,Nutrients!$BN$19,(IF($A$7=Nutrients!$A$20,Nutrients!$BN$20,Nutrients!$BN$21)))))*F$7))/2000/F$161</f>
        <v>0.16783563637384313</v>
      </c>
      <c r="G167" s="92"/>
      <c r="I167" s="92">
        <f>(SUMPRODUCT(I$8:I$79,Nutrients!$BN$8:$BN$79)+(IF($A$6=Nutrients!$A$8,Nutrients!$BN$8,Nutrients!$BN$9)*I$6)+(((IF($A$7=Nutrients!$A$19,Nutrients!$BN$19,(IF($A$7=Nutrients!$A$20,Nutrients!$BN$20,Nutrients!$BN$21)))))*I$7))/2000/I$161</f>
        <v>0.17598838048356863</v>
      </c>
      <c r="J167" s="92">
        <f>(SUMPRODUCT(J$8:J$79,Nutrients!$BN$8:$BN$79)+(IF($A$6=Nutrients!$A$8,Nutrients!$BN$8,Nutrients!$BN$9)*J$6)+(((IF($A$7=Nutrients!$A$19,Nutrients!$BN$19,(IF($A$7=Nutrients!$A$20,Nutrients!$BN$20,Nutrients!$BN$21)))))*J$7))/2000/J$161</f>
        <v>0.17354282714548505</v>
      </c>
      <c r="K167" s="92">
        <f>(SUMPRODUCT(K$8:K$79,Nutrients!$BN$8:$BN$79)+(IF($A$6=Nutrients!$A$8,Nutrients!$BN$8,Nutrients!$BN$9)*K$6)+(((IF($A$7=Nutrients!$A$19,Nutrients!$BN$19,(IF($A$7=Nutrients!$A$20,Nutrients!$BN$20,Nutrients!$BN$21)))))*K$7))/2000/K$161</f>
        <v>0.17035150369518587</v>
      </c>
      <c r="L167" s="92">
        <f>(SUMPRODUCT(L$8:L$79,Nutrients!$BN$8:$BN$79)+(IF($A$6=Nutrients!$A$8,Nutrients!$BN$8,Nutrients!$BN$9)*L$6)+(((IF($A$7=Nutrients!$A$19,Nutrients!$BN$19,(IF($A$7=Nutrients!$A$20,Nutrients!$BN$20,Nutrients!$BN$21)))))*L$7))/2000/L$161</f>
        <v>0.1648900344868382</v>
      </c>
      <c r="M167" s="92">
        <f>(SUMPRODUCT(M$8:M$79,Nutrients!$BN$8:$BN$79)+(IF($A$6=Nutrients!$A$8,Nutrients!$BN$8,Nutrients!$BN$9)*M$6)+(((IF($A$7=Nutrients!$A$19,Nutrients!$BN$19,(IF($A$7=Nutrients!$A$20,Nutrients!$BN$20,Nutrients!$BN$21)))))*M$7))/2000/M$161</f>
        <v>0.159816678805594</v>
      </c>
    </row>
    <row r="168" spans="1:13" ht="12.75">
      <c r="A168" s="20" t="s">
        <v>37</v>
      </c>
      <c r="B168" s="92">
        <f>(SUMPRODUCT(B$8:B$79,Nutrients!$BO$8:$BO$79)+(IF($A$6=Nutrients!$A$8,Nutrients!$BO$8,Nutrients!$BO$9)*B$6)+(((IF($A$7=Nutrients!$A$19,Nutrients!$BO$19,(IF($A$7=Nutrients!$A$20,Nutrients!$BO$20,Nutrients!$BO$21)))))*B$7))/2000/B$161</f>
        <v>0.7600843538067782</v>
      </c>
      <c r="C168" s="92">
        <f>(SUMPRODUCT(C$8:C$79,Nutrients!$BO$8:$BO$79)+(IF($A$6=Nutrients!$A$8,Nutrients!$BO$8,Nutrients!$BO$9)*C$6)+(((IF($A$7=Nutrients!$A$19,Nutrients!$BO$19,(IF($A$7=Nutrients!$A$20,Nutrients!$BO$20,Nutrients!$BO$21)))))*C$7))/2000/C$161</f>
        <v>0.7764883783186948</v>
      </c>
      <c r="D168" s="92">
        <f>(SUMPRODUCT(D$8:D$79,Nutrients!$BO$8:$BO$79)+(IF($A$6=Nutrients!$A$8,Nutrients!$BO$8,Nutrients!$BO$9)*D$6)+(((IF($A$7=Nutrients!$A$19,Nutrients!$BO$19,(IF($A$7=Nutrients!$A$20,Nutrients!$BO$20,Nutrients!$BO$21)))))*D$7))/2000/D$161</f>
        <v>0.7980518866375154</v>
      </c>
      <c r="E168" s="92">
        <f>(SUMPRODUCT(E$8:E$79,Nutrients!$BO$8:$BO$79)+(IF($A$6=Nutrients!$A$8,Nutrients!$BO$8,Nutrients!$BO$9)*E$6)+(((IF($A$7=Nutrients!$A$19,Nutrients!$BO$19,(IF($A$7=Nutrients!$A$20,Nutrients!$BO$20,Nutrients!$BO$21)))))*E$7))/2000/E$161</f>
        <v>0.8242922399588074</v>
      </c>
      <c r="F168" s="92">
        <f>(SUMPRODUCT(F$8:F$79,Nutrients!$BO$8:$BO$79)+(IF($A$6=Nutrients!$A$8,Nutrients!$BO$8,Nutrients!$BO$9)*F$6)+(((IF($A$7=Nutrients!$A$19,Nutrients!$BO$19,(IF($A$7=Nutrients!$A$20,Nutrients!$BO$20,Nutrients!$BO$21)))))*F$7))/2000/F$161</f>
        <v>0.8458574218037941</v>
      </c>
      <c r="G168" s="92"/>
      <c r="I168" s="92">
        <f>(SUMPRODUCT(I$8:I$79,Nutrients!$BO$8:$BO$79)+(IF($A$6=Nutrients!$A$8,Nutrients!$BO$8,Nutrients!$BO$9)*I$6)+(((IF($A$7=Nutrients!$A$19,Nutrients!$BO$19,(IF($A$7=Nutrients!$A$20,Nutrients!$BO$20,Nutrients!$BO$21)))))*I$7))/2000/I$161</f>
        <v>0.7662956827404531</v>
      </c>
      <c r="J168" s="92">
        <f>(SUMPRODUCT(J$8:J$79,Nutrients!$BO$8:$BO$79)+(IF($A$6=Nutrients!$A$8,Nutrients!$BO$8,Nutrients!$BO$9)*J$6)+(((IF($A$7=Nutrients!$A$19,Nutrients!$BO$19,(IF($A$7=Nutrients!$A$20,Nutrients!$BO$20,Nutrients!$BO$21)))))*J$7))/2000/J$161</f>
        <v>0.7823808606979794</v>
      </c>
      <c r="K168" s="92">
        <f>(SUMPRODUCT(K$8:K$79,Nutrients!$BO$8:$BO$79)+(IF($A$6=Nutrients!$A$8,Nutrients!$BO$8,Nutrients!$BO$9)*K$6)+(((IF($A$7=Nutrients!$A$19,Nutrients!$BO$19,(IF($A$7=Nutrients!$A$20,Nutrients!$BO$20,Nutrients!$BO$21)))))*K$7))/2000/K$161</f>
        <v>0.8035924830411172</v>
      </c>
      <c r="L168" s="92">
        <f>(SUMPRODUCT(L$8:L$79,Nutrients!$BO$8:$BO$79)+(IF($A$6=Nutrients!$A$8,Nutrients!$BO$8,Nutrients!$BO$9)*L$6)+(((IF($A$7=Nutrients!$A$19,Nutrients!$BO$19,(IF($A$7=Nutrients!$A$20,Nutrients!$BO$20,Nutrients!$BO$21)))))*L$7))/2000/L$161</f>
        <v>0.8306936130010202</v>
      </c>
      <c r="M168" s="92">
        <f>(SUMPRODUCT(M$8:M$79,Nutrients!$BO$8:$BO$79)+(IF($A$6=Nutrients!$A$8,Nutrients!$BO$8,Nutrients!$BO$9)*M$6)+(((IF($A$7=Nutrients!$A$19,Nutrients!$BO$19,(IF($A$7=Nutrients!$A$20,Nutrients!$BO$20,Nutrients!$BO$21)))))*M$7))/2000/M$161</f>
        <v>0.8536450488354035</v>
      </c>
    </row>
    <row r="169" spans="1:13" ht="12.75">
      <c r="A169" s="17"/>
      <c r="B169" s="29"/>
      <c r="C169" s="29"/>
      <c r="D169" s="29"/>
      <c r="E169" s="29"/>
      <c r="F169" s="29"/>
      <c r="G169" s="29"/>
      <c r="I169" s="29"/>
      <c r="J169" s="29"/>
      <c r="K169" s="29"/>
      <c r="L169" s="29"/>
      <c r="M169" s="29"/>
    </row>
  </sheetData>
  <conditionalFormatting sqref="B117:F123 I117:M123">
    <cfRule type="cellIs" priority="1" dxfId="0" operator="greaterThan" stopIfTrue="1">
      <formula>B87</formula>
    </cfRule>
  </conditionalFormatting>
  <conditionalFormatting sqref="B124:F124 I124:M124">
    <cfRule type="cellIs" priority="2" dxfId="0" operator="greaterThan" stopIfTrue="1">
      <formula>B104</formula>
    </cfRule>
  </conditionalFormatting>
  <conditionalFormatting sqref="B126:F126 I126:M126">
    <cfRule type="cellIs" priority="3" dxfId="0" operator="greaterThan" stopIfTrue="1">
      <formula>B103</formula>
    </cfRule>
  </conditionalFormatting>
  <conditionalFormatting sqref="B128:F128 I128:M128">
    <cfRule type="cellIs" priority="4" dxfId="0" operator="greaterThan" stopIfTrue="1">
      <formula>B100/B101</formula>
    </cfRule>
  </conditionalFormatting>
  <conditionalFormatting sqref="B129:F129 I129:M129">
    <cfRule type="cellIs" priority="5" dxfId="0" operator="lessThan" stopIfTrue="1">
      <formula>B100/B101</formula>
    </cfRule>
  </conditionalFormatting>
  <conditionalFormatting sqref="B130:F130 I130:M130">
    <cfRule type="cellIs" priority="6" dxfId="0" operator="lessThan" stopIfTrue="1">
      <formula>B140</formula>
    </cfRule>
  </conditionalFormatting>
  <dataValidations count="2">
    <dataValidation type="list" allowBlank="1" showInputMessage="1" showErrorMessage="1" sqref="A6">
      <formula1>$A$8:$A$9</formula1>
    </dataValidation>
    <dataValidation type="list" allowBlank="1" showInputMessage="1" showErrorMessage="1" sqref="A7">
      <formula1>$A$19:$A$21</formula1>
    </dataValidation>
  </dataValidations>
  <printOptions/>
  <pageMargins left="0.41" right="0.29" top="0.89" bottom="0.83" header="0.5" footer="0.5"/>
  <pageSetup horizontalDpi="600" verticalDpi="600" orientation="portrait" pageOrder="overThenDown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 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Authorized Customer</dc:creator>
  <cp:keywords/>
  <dc:description/>
  <cp:lastModifiedBy>Bob Goodband</cp:lastModifiedBy>
  <cp:lastPrinted>2007-01-22T23:05:54Z</cp:lastPrinted>
  <dcterms:created xsi:type="dcterms:W3CDTF">1997-07-07T17:16:27Z</dcterms:created>
  <dcterms:modified xsi:type="dcterms:W3CDTF">2008-01-24T14:52:08Z</dcterms:modified>
  <cp:category/>
  <cp:version/>
  <cp:contentType/>
  <cp:contentStatus/>
</cp:coreProperties>
</file>