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perador\OneDrive - TEKNAL S.A\Escritorio\"/>
    </mc:Choice>
  </mc:AlternateContent>
  <xr:revisionPtr revIDLastSave="0" documentId="13_ncr:1_{BE9CE8F6-FC0C-4CBF-9AD6-85C1B97CC108}" xr6:coauthVersionLast="47" xr6:coauthVersionMax="47" xr10:uidLastSave="{00000000-0000-0000-0000-000000000000}"/>
  <bookViews>
    <workbookView xWindow="-28920" yWindow="855" windowWidth="29040" windowHeight="15840" xr2:uid="{3F56D508-0452-4707-B40B-1490AD17006E}"/>
  </bookViews>
  <sheets>
    <sheet name="Lys Curve - lb" sheetId="8" r:id="rId1"/>
    <sheet name="Lys Calculator -lb" sheetId="7" r:id="rId2"/>
    <sheet name="Lys Curve -metric" sheetId="21" r:id="rId3"/>
    <sheet name="Lys Calculator - Metric" sheetId="22" r:id="rId4"/>
    <sheet name="Vicoza curve" sheetId="9" state="hidden" r:id="rId5"/>
    <sheet name="Notes" sheetId="4" state="hidden" r:id="rId6"/>
  </sheets>
  <definedNames>
    <definedName name="_xlnm.Print_Area" localSheetId="3">'Lys Calculator - Metric'!$B$1:$M$16</definedName>
    <definedName name="_xlnm.Print_Area" localSheetId="1">'Lys Calculator -lb'!$B$1:$M$16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2" l="1"/>
  <c r="E13" i="22"/>
  <c r="F13" i="22"/>
  <c r="F15" i="22" s="1"/>
  <c r="F19" i="22" s="1"/>
  <c r="G13" i="22"/>
  <c r="H13" i="22"/>
  <c r="H15" i="22" s="1"/>
  <c r="I13" i="22"/>
  <c r="C13" i="22"/>
  <c r="C15" i="22" s="1"/>
  <c r="C19" i="22" s="1"/>
  <c r="D13" i="7"/>
  <c r="E13" i="7"/>
  <c r="F13" i="7"/>
  <c r="G13" i="7"/>
  <c r="H13" i="7"/>
  <c r="I13" i="7"/>
  <c r="C13" i="7"/>
  <c r="H17" i="7"/>
  <c r="H18" i="7" s="1"/>
  <c r="B10" i="8"/>
  <c r="B11" i="8"/>
  <c r="B12" i="8"/>
  <c r="B13" i="8"/>
  <c r="B14" i="8"/>
  <c r="B15" i="8"/>
  <c r="B16" i="8"/>
  <c r="B17" i="8"/>
  <c r="B18" i="8"/>
  <c r="B19" i="8"/>
  <c r="B9" i="8"/>
  <c r="G15" i="22"/>
  <c r="G19" i="22" s="1"/>
  <c r="I15" i="22"/>
  <c r="B10" i="21"/>
  <c r="B11" i="21"/>
  <c r="B12" i="21"/>
  <c r="B13" i="21"/>
  <c r="B14" i="21"/>
  <c r="B15" i="21"/>
  <c r="B16" i="21"/>
  <c r="B17" i="21"/>
  <c r="B18" i="21"/>
  <c r="B19" i="21"/>
  <c r="B9" i="21"/>
  <c r="D17" i="22"/>
  <c r="E17" i="22"/>
  <c r="F17" i="22"/>
  <c r="G17" i="22"/>
  <c r="H17" i="22"/>
  <c r="I17" i="22"/>
  <c r="C17" i="22"/>
  <c r="C18" i="22" s="1"/>
  <c r="D15" i="22"/>
  <c r="D19" i="22" s="1"/>
  <c r="E15" i="22"/>
  <c r="E19" i="22" s="1"/>
  <c r="D18" i="22"/>
  <c r="D17" i="7"/>
  <c r="E17" i="7"/>
  <c r="F17" i="7"/>
  <c r="G17" i="7"/>
  <c r="D18" i="7"/>
  <c r="E18" i="7"/>
  <c r="F18" i="7"/>
  <c r="G18" i="7"/>
  <c r="C18" i="7"/>
  <c r="C17" i="7"/>
  <c r="H18" i="22" l="1"/>
  <c r="H19" i="22" s="1"/>
  <c r="E18" i="22"/>
  <c r="F18" i="22"/>
  <c r="G18" i="22"/>
  <c r="I15" i="7"/>
  <c r="D15" i="7"/>
  <c r="D19" i="7" s="1"/>
  <c r="E15" i="7"/>
  <c r="E19" i="7" s="1"/>
  <c r="C15" i="7"/>
  <c r="C19" i="7" s="1"/>
  <c r="F9" i="7"/>
  <c r="F15" i="7" s="1"/>
  <c r="F19" i="7" s="1"/>
  <c r="G9" i="7"/>
  <c r="G15" i="7" s="1"/>
  <c r="G19" i="7" s="1"/>
  <c r="H15" i="7"/>
  <c r="H19" i="7" s="1"/>
  <c r="E9" i="7"/>
  <c r="D9" i="7"/>
  <c r="B7" i="9" l="1"/>
  <c r="D7" i="9" l="1"/>
  <c r="E7" i="9" s="1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E20" i="9" s="1"/>
  <c r="D21" i="9"/>
  <c r="E21" i="9" s="1"/>
  <c r="D22" i="9"/>
  <c r="E22" i="9" s="1"/>
  <c r="D23" i="9"/>
  <c r="E23" i="9" s="1"/>
  <c r="D24" i="9"/>
  <c r="E24" i="9" s="1"/>
  <c r="D25" i="9"/>
  <c r="E25" i="9" s="1"/>
  <c r="D26" i="9"/>
  <c r="E26" i="9" s="1"/>
  <c r="D27" i="9"/>
  <c r="E27" i="9" s="1"/>
  <c r="D28" i="9"/>
  <c r="E28" i="9" s="1"/>
  <c r="D29" i="9"/>
  <c r="E29" i="9" s="1"/>
  <c r="D30" i="9"/>
  <c r="E30" i="9" s="1"/>
  <c r="D31" i="9"/>
  <c r="E31" i="9" s="1"/>
  <c r="D32" i="9"/>
  <c r="E32" i="9" s="1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</calcChain>
</file>

<file path=xl/sharedStrings.xml><?xml version="1.0" encoding="utf-8"?>
<sst xmlns="http://schemas.openxmlformats.org/spreadsheetml/2006/main" count="40" uniqueCount="27">
  <si>
    <t>Mix Gender</t>
  </si>
  <si>
    <t>Weight, lb</t>
  </si>
  <si>
    <t>SID Lys:NE, g/Mcal</t>
  </si>
  <si>
    <t>Lysine Recommendations for Grow-Finish Pigs</t>
  </si>
  <si>
    <t>a</t>
  </si>
  <si>
    <t>b</t>
  </si>
  <si>
    <t>c</t>
  </si>
  <si>
    <t>Weight, kg</t>
  </si>
  <si>
    <t>SID Lys/Gain, g/kg</t>
  </si>
  <si>
    <t>Vicoza regression equation</t>
  </si>
  <si>
    <t>Genesus Regression equation</t>
  </si>
  <si>
    <t>Dietary net Energy, kcal/lb</t>
  </si>
  <si>
    <t>Start weight, lb</t>
  </si>
  <si>
    <t>End weight, lb</t>
  </si>
  <si>
    <t>SID Lysine, %</t>
  </si>
  <si>
    <t>SID Lysine:NE ratio, g/Mcal</t>
  </si>
  <si>
    <t xml:space="preserve">                       Lysine Calculator for Grow-Finish Pigs</t>
  </si>
  <si>
    <t>Expected intake, lb/d</t>
  </si>
  <si>
    <t>Lysine intake, g/d</t>
  </si>
  <si>
    <t>NE intake, Kcal/d</t>
  </si>
  <si>
    <t>Expected intake, kg/d</t>
  </si>
  <si>
    <t>weight, kg</t>
  </si>
  <si>
    <t>weight, lb</t>
  </si>
  <si>
    <t>Dietary net Energy, kcal/kg</t>
  </si>
  <si>
    <t>Start weight, kg</t>
  </si>
  <si>
    <t>End weight, kg</t>
  </si>
  <si>
    <t>Average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</si>
</sst>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20"/>
      <color rgb="FF7030A0"/>
      <name val="Calibri"/>
      <family val="2"/>
      <scheme val="minor"/>
    </font>
    <font>
      <sz val="28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3" borderId="0" xfId="0" applyFont="1" applyFill="1"/>
    <xf numFmtId="164" fontId="0" fillId="0" borderId="0" xfId="0" applyNumberFormat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5" borderId="0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4" fillId="5" borderId="0" xfId="0" applyFont="1" applyFill="1"/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4" borderId="3" xfId="0" applyFont="1" applyFill="1" applyBorder="1"/>
    <xf numFmtId="0" fontId="8" fillId="4" borderId="4" xfId="0" applyFont="1" applyFill="1" applyBorder="1"/>
    <xf numFmtId="2" fontId="7" fillId="4" borderId="5" xfId="0" applyNumberFormat="1" applyFont="1" applyFill="1" applyBorder="1" applyAlignment="1">
      <alignment horizontal="center"/>
    </xf>
    <xf numFmtId="0" fontId="8" fillId="4" borderId="6" xfId="0" applyFont="1" applyFill="1" applyBorder="1"/>
    <xf numFmtId="2" fontId="12" fillId="4" borderId="7" xfId="0" applyNumberFormat="1" applyFont="1" applyFill="1" applyBorder="1" applyAlignment="1">
      <alignment horizontal="center"/>
    </xf>
    <xf numFmtId="2" fontId="0" fillId="5" borderId="0" xfId="0" applyNumberFormat="1" applyFill="1"/>
    <xf numFmtId="2" fontId="12" fillId="4" borderId="8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12" fillId="4" borderId="10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11" fillId="4" borderId="0" xfId="0" quotePrefix="1" applyFont="1" applyFill="1" applyAlignment="1">
      <alignment horizontal="centerContinuous" vertical="center"/>
    </xf>
    <xf numFmtId="0" fontId="8" fillId="5" borderId="0" xfId="0" applyFont="1" applyFill="1"/>
    <xf numFmtId="2" fontId="8" fillId="5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3" fontId="8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13" fillId="6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B5B"/>
      <color rgb="FFE8D1FF"/>
      <color rgb="FFDEBDFF"/>
      <color rgb="FFCC99FF"/>
      <color rgb="FFFFFF99"/>
      <color rgb="FFFDD5D5"/>
      <color rgb="FFA94D0F"/>
      <color rgb="FFD36113"/>
      <color rgb="FFF1A069"/>
      <color rgb="FFAC4F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7030A0"/>
                </a:solidFill>
              </a:rPr>
              <a:t>Lysine Recommendations for Grow-Finish Pigs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'Lys Curve - lb'!$C$2</c:f>
              <c:strCache>
                <c:ptCount val="1"/>
                <c:pt idx="0">
                  <c:v>Lysine Recommendations for Grow-Finish Pigs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'Lys Curve - lb'!$A$9:$A$21</c:f>
              <c:numCache>
                <c:formatCode>General</c:formatCode>
                <c:ptCount val="13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  <c:pt idx="10">
                  <c:v>250</c:v>
                </c:pt>
              </c:numCache>
            </c:numRef>
          </c:xVal>
          <c:yVal>
            <c:numRef>
              <c:f>'Lys Curve - lb'!$B$9:$B$21</c:f>
              <c:numCache>
                <c:formatCode>0.00</c:formatCode>
                <c:ptCount val="13"/>
                <c:pt idx="0">
                  <c:v>4.7798914126999996</c:v>
                </c:pt>
                <c:pt idx="1">
                  <c:v>4.5555009187</c:v>
                </c:pt>
                <c:pt idx="2">
                  <c:v>4.3311104246999994</c:v>
                </c:pt>
                <c:pt idx="3">
                  <c:v>4.1067199306999997</c:v>
                </c:pt>
                <c:pt idx="4">
                  <c:v>3.8823294366999996</c:v>
                </c:pt>
                <c:pt idx="5">
                  <c:v>3.6579389426999995</c:v>
                </c:pt>
                <c:pt idx="6">
                  <c:v>3.4335484486999999</c:v>
                </c:pt>
                <c:pt idx="7">
                  <c:v>3.2091579546999998</c:v>
                </c:pt>
                <c:pt idx="8">
                  <c:v>2.9847674606999997</c:v>
                </c:pt>
                <c:pt idx="9">
                  <c:v>2.7603769666999995</c:v>
                </c:pt>
                <c:pt idx="10">
                  <c:v>2.5359864726999994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DC-44AD-BAC5-B790299D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590352"/>
        <c:axId val="1206590768"/>
      </c:scatterChart>
      <c:valAx>
        <c:axId val="120659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rgbClr val="7030A0"/>
                    </a:solidFill>
                  </a:rPr>
                  <a:t>Weight, lb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0768"/>
        <c:crosses val="autoZero"/>
        <c:crossBetween val="midCat"/>
      </c:valAx>
      <c:valAx>
        <c:axId val="1206590768"/>
        <c:scaling>
          <c:orientation val="minMax"/>
          <c:max val="5.5"/>
          <c:min val="1.5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rgbClr val="7030A0"/>
                    </a:solidFill>
                  </a:rPr>
                  <a:t>SID</a:t>
                </a:r>
                <a:r>
                  <a:rPr lang="en-US" sz="1200" b="1" baseline="0">
                    <a:solidFill>
                      <a:srgbClr val="7030A0"/>
                    </a:solidFill>
                  </a:rPr>
                  <a:t> Lys:NE, g/Mcal</a:t>
                </a:r>
                <a:endParaRPr lang="en-US" sz="1200" b="1">
                  <a:solidFill>
                    <a:srgbClr val="7030A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7030A0"/>
                </a:solidFill>
              </a:rPr>
              <a:t>Lysine Recommendations for Grow-Finish Pigs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'Lys Curve -metric'!$C$2</c:f>
              <c:strCache>
                <c:ptCount val="1"/>
                <c:pt idx="0">
                  <c:v>Lysine Recommendations for Grow-Finish Pigs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'Lys Curve -metric'!$A$9:$A$21</c:f>
              <c:numCache>
                <c:formatCode>0.0</c:formatCode>
                <c:ptCount val="13"/>
                <c:pt idx="0">
                  <c:v>25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</c:numCache>
            </c:numRef>
          </c:xVal>
          <c:yVal>
            <c:numRef>
              <c:f>'Lys Curve -metric'!$B$9:$B$21</c:f>
              <c:numCache>
                <c:formatCode>0.00</c:formatCode>
                <c:ptCount val="13"/>
                <c:pt idx="0">
                  <c:v>4.7225036477</c:v>
                </c:pt>
                <c:pt idx="1">
                  <c:v>4.5988308476999995</c:v>
                </c:pt>
                <c:pt idx="2">
                  <c:v>4.3514852476999994</c:v>
                </c:pt>
                <c:pt idx="3">
                  <c:v>4.1041396476999994</c:v>
                </c:pt>
                <c:pt idx="4">
                  <c:v>3.8567940476999998</c:v>
                </c:pt>
                <c:pt idx="5">
                  <c:v>3.6094484476999997</c:v>
                </c:pt>
                <c:pt idx="6">
                  <c:v>3.3621028476999997</c:v>
                </c:pt>
                <c:pt idx="7">
                  <c:v>3.1147572476999996</c:v>
                </c:pt>
                <c:pt idx="8">
                  <c:v>2.8674116476999996</c:v>
                </c:pt>
                <c:pt idx="9">
                  <c:v>2.6200660477</c:v>
                </c:pt>
                <c:pt idx="10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C1-4243-9984-DBA49D0D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590352"/>
        <c:axId val="1206590768"/>
      </c:scatterChart>
      <c:valAx>
        <c:axId val="120659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rgbClr val="7030A0"/>
                    </a:solidFill>
                  </a:rPr>
                  <a:t>Weight,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0768"/>
        <c:crosses val="autoZero"/>
        <c:crossBetween val="midCat"/>
      </c:valAx>
      <c:valAx>
        <c:axId val="1206590768"/>
        <c:scaling>
          <c:orientation val="minMax"/>
          <c:max val="5.5"/>
          <c:min val="1.5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rgbClr val="7030A0"/>
                    </a:solidFill>
                  </a:rPr>
                  <a:t>SID</a:t>
                </a:r>
                <a:r>
                  <a:rPr lang="en-US" sz="1200" b="1" baseline="0">
                    <a:solidFill>
                      <a:srgbClr val="7030A0"/>
                    </a:solidFill>
                  </a:rPr>
                  <a:t> Lys:NE, g/Mcal</a:t>
                </a:r>
                <a:endParaRPr lang="en-US" sz="1200" b="1">
                  <a:solidFill>
                    <a:srgbClr val="7030A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7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Vicoza</a:t>
            </a:r>
            <a:r>
              <a:rPr lang="en-US" b="1" baseline="0">
                <a:solidFill>
                  <a:schemeClr val="tx1"/>
                </a:solidFill>
              </a:rPr>
              <a:t> and Genesus curves comparison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7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Vicoza curve</c:v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'Vicoza curve'!$A$7:$A$32</c:f>
              <c:numCache>
                <c:formatCode>General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</c:numCache>
            </c:numRef>
          </c:xVal>
          <c:yVal>
            <c:numRef>
              <c:f>'Vicoza curve'!$B$7:$B$32</c:f>
              <c:numCache>
                <c:formatCode>0.00</c:formatCode>
                <c:ptCount val="26"/>
                <c:pt idx="0">
                  <c:v>16.760999999999999</c:v>
                </c:pt>
                <c:pt idx="1">
                  <c:v>17.256</c:v>
                </c:pt>
                <c:pt idx="2">
                  <c:v>17.725999999999999</c:v>
                </c:pt>
                <c:pt idx="3">
                  <c:v>18.170999999999999</c:v>
                </c:pt>
                <c:pt idx="4">
                  <c:v>18.591000000000001</c:v>
                </c:pt>
                <c:pt idx="5">
                  <c:v>18.986000000000001</c:v>
                </c:pt>
                <c:pt idx="6">
                  <c:v>19.356000000000002</c:v>
                </c:pt>
                <c:pt idx="7">
                  <c:v>19.701000000000001</c:v>
                </c:pt>
                <c:pt idx="8">
                  <c:v>20.021000000000001</c:v>
                </c:pt>
                <c:pt idx="9">
                  <c:v>20.315999999999999</c:v>
                </c:pt>
                <c:pt idx="10">
                  <c:v>20.585999999999999</c:v>
                </c:pt>
                <c:pt idx="11">
                  <c:v>20.831</c:v>
                </c:pt>
                <c:pt idx="12">
                  <c:v>21.050999999999998</c:v>
                </c:pt>
                <c:pt idx="13">
                  <c:v>21.245999999999999</c:v>
                </c:pt>
                <c:pt idx="14">
                  <c:v>21.416</c:v>
                </c:pt>
                <c:pt idx="15">
                  <c:v>21.561</c:v>
                </c:pt>
                <c:pt idx="16">
                  <c:v>21.680999999999997</c:v>
                </c:pt>
                <c:pt idx="17">
                  <c:v>21.776</c:v>
                </c:pt>
                <c:pt idx="18">
                  <c:v>21.846</c:v>
                </c:pt>
                <c:pt idx="19">
                  <c:v>21.890999999999998</c:v>
                </c:pt>
                <c:pt idx="20">
                  <c:v>21.910999999999998</c:v>
                </c:pt>
                <c:pt idx="21">
                  <c:v>21.905999999999999</c:v>
                </c:pt>
                <c:pt idx="22">
                  <c:v>21.876000000000001</c:v>
                </c:pt>
                <c:pt idx="23">
                  <c:v>21.820999999999998</c:v>
                </c:pt>
                <c:pt idx="24">
                  <c:v>21.741</c:v>
                </c:pt>
                <c:pt idx="25">
                  <c:v>21.635999999999999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23-414A-B33C-145F8D27BFDF}"/>
            </c:ext>
          </c:extLst>
        </c:ser>
        <c:ser>
          <c:idx val="1"/>
          <c:order val="1"/>
          <c:tx>
            <c:v>Genesus curve</c:v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2">
                  <a:lumMod val="50000"/>
                </a:schemeClr>
              </a:solidFill>
              <a:ln w="9525" cap="flat" cmpd="sng" algn="ctr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xVal>
            <c:numRef>
              <c:f>'Vicoza curve'!$A$7:$A$32</c:f>
              <c:numCache>
                <c:formatCode>General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</c:numCache>
            </c:numRef>
          </c:xVal>
          <c:yVal>
            <c:numRef>
              <c:f>'Vicoza curve'!$E$7:$E$32</c:f>
              <c:numCache>
                <c:formatCode>0.00</c:formatCode>
                <c:ptCount val="26"/>
                <c:pt idx="0">
                  <c:v>16.092000830159101</c:v>
                </c:pt>
                <c:pt idx="1">
                  <c:v>18.071211681698657</c:v>
                </c:pt>
                <c:pt idx="2">
                  <c:v>20.036293243718674</c:v>
                </c:pt>
                <c:pt idx="3">
                  <c:v>21.987245516219147</c:v>
                </c:pt>
                <c:pt idx="4">
                  <c:v>23.924068499200075</c:v>
                </c:pt>
                <c:pt idx="5">
                  <c:v>25.846762192661469</c:v>
                </c:pt>
                <c:pt idx="6">
                  <c:v>27.755326596603318</c:v>
                </c:pt>
                <c:pt idx="7">
                  <c:v>29.649761711025626</c:v>
                </c:pt>
                <c:pt idx="8">
                  <c:v>31.530067535928389</c:v>
                </c:pt>
                <c:pt idx="9">
                  <c:v>33.396244071311614</c:v>
                </c:pt>
                <c:pt idx="10">
                  <c:v>35.248291317175294</c:v>
                </c:pt>
                <c:pt idx="11">
                  <c:v>37.08620927351943</c:v>
                </c:pt>
                <c:pt idx="12">
                  <c:v>38.909997940344027</c:v>
                </c:pt>
                <c:pt idx="13">
                  <c:v>40.71965731764908</c:v>
                </c:pt>
                <c:pt idx="14">
                  <c:v>42.515187405434595</c:v>
                </c:pt>
                <c:pt idx="15">
                  <c:v>44.296588203700573</c:v>
                </c:pt>
                <c:pt idx="16">
                  <c:v>46.063859712447005</c:v>
                </c:pt>
                <c:pt idx="17">
                  <c:v>47.817001931673886</c:v>
                </c:pt>
                <c:pt idx="18">
                  <c:v>49.556014861381236</c:v>
                </c:pt>
                <c:pt idx="19">
                  <c:v>51.280898501569041</c:v>
                </c:pt>
                <c:pt idx="20">
                  <c:v>52.991652852237301</c:v>
                </c:pt>
                <c:pt idx="21">
                  <c:v>54.688277913386031</c:v>
                </c:pt>
                <c:pt idx="22">
                  <c:v>56.370773685015209</c:v>
                </c:pt>
                <c:pt idx="23">
                  <c:v>58.039140167124842</c:v>
                </c:pt>
                <c:pt idx="24">
                  <c:v>59.693377359714937</c:v>
                </c:pt>
                <c:pt idx="25">
                  <c:v>61.333485262785494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23-414A-B33C-145F8D27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594928"/>
        <c:axId val="1206595760"/>
      </c:scatterChart>
      <c:valAx>
        <c:axId val="120659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chemeClr val="tx1"/>
                    </a:solidFill>
                  </a:rPr>
                  <a:t>Weight,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5760"/>
        <c:crosses val="autoZero"/>
        <c:crossBetween val="midCat"/>
      </c:valAx>
      <c:valAx>
        <c:axId val="1206595760"/>
        <c:scaling>
          <c:orientation val="minMax"/>
          <c:max val="30"/>
          <c:min val="14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>
                    <a:solidFill>
                      <a:schemeClr val="tx1"/>
                    </a:solidFill>
                  </a:rPr>
                  <a:t>SID Lys/Gain, g/kg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59492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682625</xdr:colOff>
      <xdr:row>4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0F409-B68F-467B-8178-142D0057D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6998" cy="1010137"/>
        </a:xfrm>
        <a:prstGeom prst="rect">
          <a:avLst/>
        </a:prstGeom>
      </xdr:spPr>
    </xdr:pic>
    <xdr:clientData/>
  </xdr:twoCellAnchor>
  <xdr:twoCellAnchor>
    <xdr:from>
      <xdr:col>2</xdr:col>
      <xdr:colOff>228356</xdr:colOff>
      <xdr:row>6</xdr:row>
      <xdr:rowOff>88899</xdr:rowOff>
    </xdr:from>
    <xdr:to>
      <xdr:col>11</xdr:col>
      <xdr:colOff>161681</xdr:colOff>
      <xdr:row>25</xdr:row>
      <xdr:rowOff>69849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77A0B5-D2DD-424A-B1F5-A76114DCE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358776</xdr:colOff>
      <xdr:row>9</xdr:row>
      <xdr:rowOff>107705</xdr:rowOff>
    </xdr:from>
    <xdr:to>
      <xdr:col>11</xdr:col>
      <xdr:colOff>352671</xdr:colOff>
      <xdr:row>13</xdr:row>
      <xdr:rowOff>36878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7A5781-B498-4EE1-974D-263EBA6E456D}"/>
            </a:ext>
          </a:extLst>
        </xdr:cNvPr>
        <xdr:cNvSpPr txBox="1"/>
      </xdr:nvSpPr>
      <xdr:spPr>
        <a:xfrm>
          <a:off x="3892551" y="2088905"/>
          <a:ext cx="3480045" cy="691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Mix</a:t>
          </a:r>
          <a:r>
            <a:rPr lang="en-US" sz="1100" b="1" baseline="0"/>
            <a:t> Gender </a:t>
          </a:r>
          <a:r>
            <a:rPr lang="en-US" sz="1100" b="1"/>
            <a:t>SID Lys:NE, g/Mcal =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= -0.01122 x BW, lb + 5.341</a:t>
          </a:r>
          <a:endParaRPr lang="en-US">
            <a:effectLst/>
          </a:endParaRPr>
        </a:p>
        <a:p>
          <a:pPr algn="ctr"/>
          <a:br>
            <a:rPr lang="en-US" sz="1100" b="1" baseline="0"/>
          </a:br>
          <a:endParaRPr lang="en-US" sz="1100" b="1"/>
        </a:p>
      </xdr:txBody>
    </xdr:sp>
    <xdr:clientData/>
  </xdr:twoCellAnchor>
  <xdr:twoCellAnchor editAs="oneCell">
    <xdr:from>
      <xdr:col>10</xdr:col>
      <xdr:colOff>465745</xdr:colOff>
      <xdr:row>0</xdr:row>
      <xdr:rowOff>0</xdr:rowOff>
    </xdr:from>
    <xdr:to>
      <xdr:col>14</xdr:col>
      <xdr:colOff>1103</xdr:colOff>
      <xdr:row>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333B80-D060-4177-AC4E-D8981473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21168" y="0"/>
          <a:ext cx="1956662" cy="1010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1816100</xdr:colOff>
      <xdr:row>4</xdr:row>
      <xdr:rowOff>1243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1EB648-21E8-40D2-8F86-8E17C24E1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1200" cy="100136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13</xdr:col>
      <xdr:colOff>71036</xdr:colOff>
      <xdr:row>4</xdr:row>
      <xdr:rowOff>11899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8DDE9-93ED-4139-9A3B-DBE6FA6F5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2625" y="0"/>
          <a:ext cx="1928411" cy="100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682625</xdr:colOff>
      <xdr:row>4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7C4A4-7EE6-4621-BB64-D37FE81FA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9875" cy="1038224"/>
        </a:xfrm>
        <a:prstGeom prst="rect">
          <a:avLst/>
        </a:prstGeom>
      </xdr:spPr>
    </xdr:pic>
    <xdr:clientData/>
  </xdr:twoCellAnchor>
  <xdr:twoCellAnchor>
    <xdr:from>
      <xdr:col>2</xdr:col>
      <xdr:colOff>228356</xdr:colOff>
      <xdr:row>6</xdr:row>
      <xdr:rowOff>88899</xdr:rowOff>
    </xdr:from>
    <xdr:to>
      <xdr:col>11</xdr:col>
      <xdr:colOff>161681</xdr:colOff>
      <xdr:row>25</xdr:row>
      <xdr:rowOff>69849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11DA34-8E79-4C53-B8F8-67BA87B56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358776</xdr:colOff>
      <xdr:row>9</xdr:row>
      <xdr:rowOff>107705</xdr:rowOff>
    </xdr:from>
    <xdr:to>
      <xdr:col>11</xdr:col>
      <xdr:colOff>352671</xdr:colOff>
      <xdr:row>13</xdr:row>
      <xdr:rowOff>36878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C2B2E0-D350-43D7-B492-E7AB0BD3B0CB}"/>
            </a:ext>
          </a:extLst>
        </xdr:cNvPr>
        <xdr:cNvSpPr txBox="1"/>
      </xdr:nvSpPr>
      <xdr:spPr>
        <a:xfrm>
          <a:off x="4035426" y="2088905"/>
          <a:ext cx="3480045" cy="691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Mix</a:t>
          </a:r>
          <a:r>
            <a:rPr lang="en-US" sz="1100" b="1" baseline="0"/>
            <a:t> Gender </a:t>
          </a:r>
          <a:r>
            <a:rPr lang="en-US" sz="1100" b="1"/>
            <a:t>SID Lys:NE, g/Mcal =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/>
            <a:t>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= -0.02473 * BW, kg + 5.341</a:t>
          </a:r>
          <a:endParaRPr lang="en-US">
            <a:effectLst/>
          </a:endParaRPr>
        </a:p>
        <a:p>
          <a:pPr algn="ctr"/>
          <a:br>
            <a:rPr lang="en-US" sz="1100" b="1" baseline="0"/>
          </a:br>
          <a:endParaRPr lang="en-US" sz="1100" b="1"/>
        </a:p>
      </xdr:txBody>
    </xdr:sp>
    <xdr:clientData/>
  </xdr:twoCellAnchor>
  <xdr:twoCellAnchor editAs="oneCell">
    <xdr:from>
      <xdr:col>10</xdr:col>
      <xdr:colOff>465745</xdr:colOff>
      <xdr:row>0</xdr:row>
      <xdr:rowOff>0</xdr:rowOff>
    </xdr:from>
    <xdr:to>
      <xdr:col>14</xdr:col>
      <xdr:colOff>1103</xdr:colOff>
      <xdr:row>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A2850D-5ADA-4441-949E-F4055F842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7520" y="0"/>
          <a:ext cx="1859458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1816100</xdr:colOff>
      <xdr:row>4</xdr:row>
      <xdr:rowOff>1243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94A07C-7D98-49B8-A4DF-93542D38E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8500" cy="102994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13</xdr:col>
      <xdr:colOff>71036</xdr:colOff>
      <xdr:row>4</xdr:row>
      <xdr:rowOff>11899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2ABF85-7A0D-4840-9436-BEC1B3B8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0" y="0"/>
          <a:ext cx="1814111" cy="1040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169860</xdr:colOff>
      <xdr:row>7</xdr:row>
      <xdr:rowOff>9525</xdr:rowOff>
    </xdr:from>
    <xdr:to>
      <xdr:col>14</xdr:col>
      <xdr:colOff>238124</xdr:colOff>
      <xdr:row>24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553253-BB76-4F78-9A3F-B4C0815B7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111125</xdr:rowOff>
    </xdr:from>
    <xdr:to>
      <xdr:col>13</xdr:col>
      <xdr:colOff>0</xdr:colOff>
      <xdr:row>20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079482E-F45C-493A-8FD5-7BAB3F90FD00}"/>
            </a:ext>
          </a:extLst>
        </xdr:cNvPr>
        <xdr:cNvSpPr/>
      </xdr:nvSpPr>
      <xdr:spPr>
        <a:xfrm>
          <a:off x="333375" y="111125"/>
          <a:ext cx="7591425" cy="3536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10/7. Hilario</a:t>
          </a:r>
          <a:r>
            <a:rPr lang="en-US" sz="1100" baseline="0"/>
            <a:t> </a:t>
          </a:r>
        </a:p>
        <a:p>
          <a:pPr algn="l"/>
          <a:r>
            <a:rPr lang="en-US" sz="1100" baseline="0"/>
            <a:t>- Exp. 17-04.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Period 1. I</a:t>
          </a:r>
          <a:r>
            <a:rPr lang="en-US" sz="1100" baseline="0"/>
            <a:t>t does not has the whole performance by gender by treatment. it has a sex effect by from the whole period without especification by treatment.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Period 2. It has the ADG by gender by treatment, but not ADFI and FG.  The total weight of the treatments at the end of Period 2 do not matches with the beginning of period 3. Also, the period 2 starting weight of the low lysine treatment do not match with the ending weight of the period 1.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Period 3.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It has the ADG by gender by treatment, but not ADFI and FG.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Period 4. It does not has the whole performance by gender by treatment. it has a sex effect by from the whole period without especification by treatment.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-Exp. 17-01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beginning wieght of a period do not math with the ending of the previous oones.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 data oby gender by treatment is showed. Just the performance of barrows and gilts in the period.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Exp. S18-09.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 a early finishing trial, from 60 to 90 lb. </a:t>
          </a:r>
          <a:r>
            <a:rPr lang="en-US"/>
            <a:t> </a:t>
          </a:r>
          <a:endParaRPr lang="en-US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-Exp. 17-11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 a nursery trial. 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49F3-1DF4-48F5-A932-F6D6827F1688}">
  <sheetPr codeName="Sheet6"/>
  <dimension ref="A1:Q21"/>
  <sheetViews>
    <sheetView tabSelected="1" zoomScale="120" zoomScaleNormal="120" workbookViewId="0">
      <selection activeCell="A7" sqref="A7"/>
    </sheetView>
  </sheetViews>
  <sheetFormatPr defaultColWidth="8.7265625" defaultRowHeight="14.5" x14ac:dyDescent="0.35"/>
  <cols>
    <col min="1" max="1" width="12.81640625" style="9" bestFit="1" customWidth="1"/>
    <col min="2" max="2" width="16.1796875" style="9" bestFit="1" customWidth="1"/>
    <col min="3" max="16384" width="8.7265625" style="9"/>
  </cols>
  <sheetData>
    <row r="1" spans="1:17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ht="36" x14ac:dyDescent="0.8">
      <c r="A2" s="15"/>
      <c r="B2" s="15"/>
      <c r="C2" s="16" t="s">
        <v>3</v>
      </c>
      <c r="D2" s="17"/>
      <c r="E2" s="17"/>
      <c r="F2" s="17"/>
      <c r="G2" s="17"/>
      <c r="H2" s="15"/>
      <c r="I2" s="15"/>
      <c r="J2" s="15"/>
      <c r="K2" s="15"/>
      <c r="L2" s="15"/>
      <c r="M2" s="15"/>
      <c r="N2" s="15"/>
    </row>
    <row r="3" spans="1:17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7" spans="1:17" x14ac:dyDescent="0.35">
      <c r="A7" s="9" t="s">
        <v>26</v>
      </c>
      <c r="B7" s="10" t="s">
        <v>2</v>
      </c>
      <c r="C7" s="11"/>
    </row>
    <row r="8" spans="1:17" x14ac:dyDescent="0.35">
      <c r="A8" s="12" t="s">
        <v>22</v>
      </c>
      <c r="B8" s="12" t="s">
        <v>0</v>
      </c>
      <c r="C8" s="11"/>
    </row>
    <row r="9" spans="1:17" x14ac:dyDescent="0.35">
      <c r="A9" s="13">
        <v>50</v>
      </c>
      <c r="B9" s="14">
        <f>IF((-0.0112195247*(A9)+5.3408676477)&gt;2.4,-0.0112195247*(A9)+5.3408676477,2.4)</f>
        <v>4.7798914126999996</v>
      </c>
      <c r="P9" s="26"/>
      <c r="Q9" s="26"/>
    </row>
    <row r="10" spans="1:17" x14ac:dyDescent="0.35">
      <c r="A10" s="13">
        <v>70</v>
      </c>
      <c r="B10" s="14">
        <f t="shared" ref="B10:B19" si="0">IF((-0.0112195247*(A10)+5.3408676477)&gt;2.4,-0.0112195247*(A10)+5.3408676477,2.4)</f>
        <v>4.5555009187</v>
      </c>
      <c r="P10" s="26"/>
      <c r="Q10" s="26"/>
    </row>
    <row r="11" spans="1:17" x14ac:dyDescent="0.35">
      <c r="A11" s="13">
        <v>90</v>
      </c>
      <c r="B11" s="14">
        <f t="shared" si="0"/>
        <v>4.3311104246999994</v>
      </c>
      <c r="P11" s="26"/>
      <c r="Q11" s="26"/>
    </row>
    <row r="12" spans="1:17" x14ac:dyDescent="0.35">
      <c r="A12" s="13">
        <v>110</v>
      </c>
      <c r="B12" s="14">
        <f t="shared" si="0"/>
        <v>4.1067199306999997</v>
      </c>
      <c r="P12" s="26"/>
      <c r="Q12" s="26"/>
    </row>
    <row r="13" spans="1:17" x14ac:dyDescent="0.35">
      <c r="A13" s="13">
        <v>130</v>
      </c>
      <c r="B13" s="14">
        <f t="shared" si="0"/>
        <v>3.8823294366999996</v>
      </c>
      <c r="P13" s="26"/>
      <c r="Q13" s="26"/>
    </row>
    <row r="14" spans="1:17" x14ac:dyDescent="0.35">
      <c r="A14" s="13">
        <v>150</v>
      </c>
      <c r="B14" s="14">
        <f t="shared" si="0"/>
        <v>3.6579389426999995</v>
      </c>
      <c r="P14" s="26"/>
      <c r="Q14" s="26"/>
    </row>
    <row r="15" spans="1:17" x14ac:dyDescent="0.35">
      <c r="A15" s="13">
        <v>170</v>
      </c>
      <c r="B15" s="14">
        <f t="shared" si="0"/>
        <v>3.4335484486999999</v>
      </c>
      <c r="P15" s="26"/>
      <c r="Q15" s="26"/>
    </row>
    <row r="16" spans="1:17" x14ac:dyDescent="0.35">
      <c r="A16" s="13">
        <v>190</v>
      </c>
      <c r="B16" s="14">
        <f t="shared" si="0"/>
        <v>3.2091579546999998</v>
      </c>
      <c r="P16" s="26"/>
      <c r="Q16" s="26"/>
    </row>
    <row r="17" spans="1:17" x14ac:dyDescent="0.35">
      <c r="A17" s="13">
        <v>210</v>
      </c>
      <c r="B17" s="14">
        <f t="shared" si="0"/>
        <v>2.9847674606999997</v>
      </c>
      <c r="P17" s="26"/>
      <c r="Q17" s="26"/>
    </row>
    <row r="18" spans="1:17" x14ac:dyDescent="0.35">
      <c r="A18" s="13">
        <v>230</v>
      </c>
      <c r="B18" s="14">
        <f t="shared" si="0"/>
        <v>2.7603769666999995</v>
      </c>
      <c r="P18" s="26"/>
      <c r="Q18" s="26"/>
    </row>
    <row r="19" spans="1:17" x14ac:dyDescent="0.35">
      <c r="A19" s="13">
        <v>250</v>
      </c>
      <c r="B19" s="14">
        <f t="shared" si="0"/>
        <v>2.5359864726999994</v>
      </c>
      <c r="P19" s="26"/>
      <c r="Q19" s="26"/>
    </row>
    <row r="20" spans="1:17" x14ac:dyDescent="0.35">
      <c r="A20" s="13"/>
      <c r="B20" s="14"/>
      <c r="P20" s="26"/>
      <c r="Q20" s="26"/>
    </row>
    <row r="21" spans="1:17" x14ac:dyDescent="0.35">
      <c r="A21" s="13"/>
      <c r="B21" s="14"/>
      <c r="P21" s="26"/>
      <c r="Q21" s="26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BF41-FFB3-401E-8F72-3754AD1CF5ED}">
  <sheetPr codeName="Sheet7">
    <pageSetUpPr fitToPage="1"/>
  </sheetPr>
  <dimension ref="A1:M19"/>
  <sheetViews>
    <sheetView zoomScaleNormal="100" workbookViewId="0">
      <selection activeCell="C9" sqref="C9"/>
    </sheetView>
  </sheetViews>
  <sheetFormatPr defaultColWidth="8.7265625" defaultRowHeight="14.5" x14ac:dyDescent="0.35"/>
  <cols>
    <col min="1" max="1" width="2.26953125" style="9" customWidth="1"/>
    <col min="2" max="2" width="40" style="9" bestFit="1" customWidth="1"/>
    <col min="3" max="9" width="10.54296875" style="9" customWidth="1"/>
    <col min="10" max="10" width="5.1796875" style="9" customWidth="1"/>
    <col min="11" max="16384" width="8.7265625" style="9"/>
  </cols>
  <sheetData>
    <row r="1" spans="1:13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6" x14ac:dyDescent="0.35">
      <c r="A2" s="8"/>
      <c r="B2" s="33" t="s">
        <v>16</v>
      </c>
      <c r="C2" s="30"/>
      <c r="D2" s="31"/>
      <c r="E2" s="32"/>
      <c r="F2" s="32"/>
      <c r="G2" s="32"/>
      <c r="H2" s="31"/>
      <c r="I2" s="31"/>
      <c r="J2" s="31"/>
      <c r="K2" s="8"/>
      <c r="L2" s="8"/>
      <c r="M2" s="8"/>
    </row>
    <row r="3" spans="1:13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7" spans="1:13" ht="21" x14ac:dyDescent="0.5">
      <c r="B7" s="18" t="s">
        <v>11</v>
      </c>
      <c r="C7" s="39">
        <v>1150</v>
      </c>
      <c r="D7" s="39">
        <v>1150</v>
      </c>
      <c r="E7" s="39">
        <v>1150</v>
      </c>
      <c r="F7" s="39">
        <v>1150</v>
      </c>
      <c r="G7" s="39">
        <v>1150</v>
      </c>
      <c r="H7" s="39">
        <v>1150</v>
      </c>
      <c r="I7" s="39"/>
    </row>
    <row r="8" spans="1:13" ht="21" x14ac:dyDescent="0.5">
      <c r="B8" s="18"/>
      <c r="C8" s="19"/>
      <c r="D8" s="19"/>
      <c r="E8" s="19"/>
      <c r="F8" s="19"/>
      <c r="G8" s="19"/>
      <c r="H8" s="19"/>
      <c r="I8" s="19"/>
    </row>
    <row r="9" spans="1:13" ht="21" x14ac:dyDescent="0.5">
      <c r="B9" s="18" t="s">
        <v>12</v>
      </c>
      <c r="C9" s="39">
        <v>27</v>
      </c>
      <c r="D9" s="39">
        <f>C11</f>
        <v>40</v>
      </c>
      <c r="E9" s="39">
        <f>D11</f>
        <v>80</v>
      </c>
      <c r="F9" s="39">
        <f t="shared" ref="F9:G9" si="0">E11</f>
        <v>130</v>
      </c>
      <c r="G9" s="39">
        <f t="shared" si="0"/>
        <v>180</v>
      </c>
      <c r="H9" s="39">
        <v>230</v>
      </c>
      <c r="I9" s="39"/>
    </row>
    <row r="10" spans="1:13" ht="21" x14ac:dyDescent="0.5">
      <c r="B10" s="18"/>
      <c r="C10" s="20"/>
      <c r="D10" s="20"/>
      <c r="E10" s="20"/>
      <c r="F10" s="20"/>
      <c r="G10" s="20"/>
      <c r="H10" s="20"/>
      <c r="I10" s="20"/>
    </row>
    <row r="11" spans="1:13" ht="21" x14ac:dyDescent="0.5">
      <c r="B11" s="18" t="s">
        <v>13</v>
      </c>
      <c r="C11" s="39">
        <v>40</v>
      </c>
      <c r="D11" s="39">
        <v>80</v>
      </c>
      <c r="E11" s="39">
        <v>130</v>
      </c>
      <c r="F11" s="39">
        <v>180</v>
      </c>
      <c r="G11" s="39">
        <v>230</v>
      </c>
      <c r="H11" s="39">
        <v>280</v>
      </c>
      <c r="I11" s="39"/>
    </row>
    <row r="12" spans="1:13" ht="21.5" thickBot="1" x14ac:dyDescent="0.55000000000000004">
      <c r="B12" s="18"/>
    </row>
    <row r="13" spans="1:13" ht="28.5" x14ac:dyDescent="0.65">
      <c r="B13" s="21" t="s">
        <v>15</v>
      </c>
      <c r="C13" s="27">
        <f>IF(C9="","",IF(AVERAGE(C9,C11)&gt;262,2.4,-0.0112195247*(AVERAGE(C$9,C$11))+5.3408676477))</f>
        <v>4.96501357025</v>
      </c>
      <c r="D13" s="27">
        <f t="shared" ref="D13:I13" si="1">IF(D9="","",IF(AVERAGE(D9,D11)&gt;262,2.4,-0.0112195247*(AVERAGE(D$9,D$11))+5.3408676477))</f>
        <v>4.6676961656999998</v>
      </c>
      <c r="E13" s="27">
        <f t="shared" si="1"/>
        <v>4.1628175542000001</v>
      </c>
      <c r="F13" s="27">
        <f t="shared" si="1"/>
        <v>3.6018413191999996</v>
      </c>
      <c r="G13" s="27">
        <f t="shared" si="1"/>
        <v>3.0408650841999996</v>
      </c>
      <c r="H13" s="27">
        <f t="shared" si="1"/>
        <v>2.4798888491999995</v>
      </c>
      <c r="I13" s="27" t="str">
        <f t="shared" si="1"/>
        <v/>
      </c>
    </row>
    <row r="14" spans="1:13" ht="28.5" x14ac:dyDescent="0.65">
      <c r="B14" s="22"/>
      <c r="C14" s="28"/>
      <c r="D14" s="23"/>
      <c r="E14" s="23"/>
      <c r="F14" s="23"/>
      <c r="G14" s="23"/>
      <c r="H14" s="23"/>
      <c r="I14" s="23"/>
    </row>
    <row r="15" spans="1:13" ht="29" thickBot="1" x14ac:dyDescent="0.7">
      <c r="B15" s="24" t="s">
        <v>14</v>
      </c>
      <c r="C15" s="29">
        <f>IF(C13="","",C$7*2.2046*C$13/10000)</f>
        <v>1.2587749254519123</v>
      </c>
      <c r="D15" s="25">
        <f t="shared" ref="D15:I15" si="2">IF(D13="","",D$7*2.2046*D$13/10000)</f>
        <v>1.1833963411937551</v>
      </c>
      <c r="E15" s="25">
        <f t="shared" si="2"/>
        <v>1.0553949716987718</v>
      </c>
      <c r="F15" s="25">
        <f t="shared" si="2"/>
        <v>0.91317122781545679</v>
      </c>
      <c r="G15" s="25">
        <f t="shared" si="2"/>
        <v>0.77094748393214163</v>
      </c>
      <c r="H15" s="25">
        <f t="shared" si="2"/>
        <v>0.6287237400488267</v>
      </c>
      <c r="I15" s="25" t="str">
        <f t="shared" si="2"/>
        <v/>
      </c>
    </row>
    <row r="17" spans="2:8" ht="23.5" x14ac:dyDescent="0.55000000000000004">
      <c r="B17" s="34" t="s">
        <v>19</v>
      </c>
      <c r="C17" s="37">
        <f xml:space="preserve"> -0.0888908317*AVERAGE(C9,C11)^2 + 55.0608060611*AVERAGE(C9,C11) + 105.1138039647</f>
        <v>1849.8930711362252</v>
      </c>
      <c r="D17" s="37">
        <f t="shared" ref="D17:H17" si="3" xml:space="preserve"> -0.0888908317*AVERAGE(D9,D11)^2 + 55.0608060611*AVERAGE(D9,D11) + 105.1138039647</f>
        <v>3088.7551735106999</v>
      </c>
      <c r="E17" s="37">
        <f t="shared" si="3"/>
        <v>4906.4770208877007</v>
      </c>
      <c r="F17" s="37">
        <f t="shared" si="3"/>
        <v>6503.9365118427004</v>
      </c>
      <c r="G17" s="37">
        <f t="shared" si="3"/>
        <v>7656.9418442977012</v>
      </c>
      <c r="H17" s="37">
        <f t="shared" si="3"/>
        <v>8365.4930182527005</v>
      </c>
    </row>
    <row r="18" spans="2:8" ht="23.5" x14ac:dyDescent="0.55000000000000004">
      <c r="B18" s="34" t="s">
        <v>17</v>
      </c>
      <c r="C18" s="35">
        <f>C17/C7</f>
        <v>1.6086026705532392</v>
      </c>
      <c r="D18" s="35">
        <f t="shared" ref="D18:H18" si="4">D17/D7</f>
        <v>2.685874063922348</v>
      </c>
      <c r="E18" s="35">
        <f t="shared" si="4"/>
        <v>4.2665017572936526</v>
      </c>
      <c r="F18" s="35">
        <f t="shared" si="4"/>
        <v>5.6555969668197399</v>
      </c>
      <c r="G18" s="35">
        <f t="shared" si="4"/>
        <v>6.6582102993893058</v>
      </c>
      <c r="H18" s="35">
        <f t="shared" si="4"/>
        <v>7.2743417550023484</v>
      </c>
    </row>
    <row r="19" spans="2:8" ht="23.5" x14ac:dyDescent="0.55000000000000004">
      <c r="B19" s="34" t="s">
        <v>18</v>
      </c>
      <c r="C19" s="36">
        <f>C18/2.2046*C15*10</f>
        <v>9.1847442017028058</v>
      </c>
      <c r="D19" s="36">
        <f t="shared" ref="D19:H19" si="5">D18/2.2046*D15*10</f>
        <v>14.417370680181929</v>
      </c>
      <c r="E19" s="36">
        <f t="shared" si="5"/>
        <v>20.424768671830236</v>
      </c>
      <c r="F19" s="36">
        <f t="shared" si="5"/>
        <v>23.426147265808556</v>
      </c>
      <c r="G19" s="36">
        <f t="shared" si="5"/>
        <v>23.283727106074828</v>
      </c>
      <c r="H19" s="36">
        <f t="shared" si="5"/>
        <v>20.745492854025322</v>
      </c>
    </row>
  </sheetData>
  <sheetProtection sheet="1" objects="1" scenarios="1"/>
  <phoneticPr fontId="1" type="noConversion"/>
  <dataValidations count="3">
    <dataValidation allowBlank="1" showInputMessage="1" showErrorMessage="1" promptTitle="Energy Level" prompt="Insert here the energy level for phase 1" sqref="C8:I8" xr:uid="{B86D9D3C-574C-41D6-AC99-B7066BAC3349}"/>
    <dataValidation allowBlank="1" showInputMessage="1" showErrorMessage="1" errorTitle="STOP" error="Do not modify this cell value" sqref="C13:I14" xr:uid="{43D2BA7B-9C65-4353-9618-F12E7A691CAF}"/>
    <dataValidation allowBlank="1" showInputMessage="1" showErrorMessage="1" promptTitle="Energy Level" prompt="Insert here the energy level of your diet" sqref="C7:I7" xr:uid="{D5A14489-200C-4D95-9A77-BEE301EA1059}"/>
  </dataValidations>
  <pageMargins left="0.7" right="0.7" top="0.75" bottom="0.75" header="0.3" footer="0.3"/>
  <pageSetup scale="8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2CA5-EB56-48A6-9A6C-42C376380170}">
  <dimension ref="A1:Q21"/>
  <sheetViews>
    <sheetView zoomScale="120" zoomScaleNormal="120" workbookViewId="0">
      <selection activeCell="A7" sqref="A7"/>
    </sheetView>
  </sheetViews>
  <sheetFormatPr defaultColWidth="8.7265625" defaultRowHeight="14.5" x14ac:dyDescent="0.35"/>
  <cols>
    <col min="1" max="1" width="12.81640625" style="9" bestFit="1" customWidth="1"/>
    <col min="2" max="2" width="16.1796875" style="9" bestFit="1" customWidth="1"/>
    <col min="3" max="14" width="8.7265625" style="9"/>
    <col min="15" max="15" width="13.453125" style="9" customWidth="1"/>
    <col min="16" max="16384" width="8.7265625" style="9"/>
  </cols>
  <sheetData>
    <row r="1" spans="1:17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ht="36" x14ac:dyDescent="0.8">
      <c r="A2" s="15"/>
      <c r="B2" s="15"/>
      <c r="C2" s="16" t="s">
        <v>3</v>
      </c>
      <c r="D2" s="17"/>
      <c r="E2" s="17"/>
      <c r="F2" s="17"/>
      <c r="G2" s="17"/>
      <c r="H2" s="15"/>
      <c r="I2" s="15"/>
      <c r="J2" s="15"/>
      <c r="K2" s="15"/>
      <c r="L2" s="15"/>
      <c r="M2" s="15"/>
      <c r="N2" s="15"/>
    </row>
    <row r="3" spans="1:17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7" spans="1:17" x14ac:dyDescent="0.35">
      <c r="A7" s="9" t="s">
        <v>26</v>
      </c>
      <c r="B7" s="10" t="s">
        <v>2</v>
      </c>
      <c r="C7" s="11"/>
    </row>
    <row r="8" spans="1:17" x14ac:dyDescent="0.35">
      <c r="A8" s="12" t="s">
        <v>21</v>
      </c>
      <c r="B8" s="12" t="s">
        <v>0</v>
      </c>
      <c r="C8" s="11"/>
    </row>
    <row r="9" spans="1:17" x14ac:dyDescent="0.35">
      <c r="A9" s="38">
        <v>25</v>
      </c>
      <c r="B9" s="14">
        <f>IF((-0.02473456*(A9)+5.3408676477)&gt;2.4,-0.02473456*(A9)+5.3408676477,2.4)</f>
        <v>4.7225036477</v>
      </c>
      <c r="P9" s="26"/>
      <c r="Q9" s="26"/>
    </row>
    <row r="10" spans="1:17" x14ac:dyDescent="0.35">
      <c r="A10" s="38">
        <v>30</v>
      </c>
      <c r="B10" s="14">
        <f t="shared" ref="B10:B19" si="0">IF((-0.02473456*(A10)+5.3408676477)&gt;2.4,-0.02473456*(A10)+5.3408676477,2.4)</f>
        <v>4.5988308476999995</v>
      </c>
      <c r="P10" s="26"/>
      <c r="Q10" s="26"/>
    </row>
    <row r="11" spans="1:17" x14ac:dyDescent="0.35">
      <c r="A11" s="38">
        <v>40</v>
      </c>
      <c r="B11" s="14">
        <f t="shared" si="0"/>
        <v>4.3514852476999994</v>
      </c>
      <c r="P11" s="26"/>
      <c r="Q11" s="26"/>
    </row>
    <row r="12" spans="1:17" x14ac:dyDescent="0.35">
      <c r="A12" s="38">
        <v>50</v>
      </c>
      <c r="B12" s="14">
        <f t="shared" si="0"/>
        <v>4.1041396476999994</v>
      </c>
      <c r="P12" s="26"/>
      <c r="Q12" s="26"/>
    </row>
    <row r="13" spans="1:17" x14ac:dyDescent="0.35">
      <c r="A13" s="38">
        <v>60</v>
      </c>
      <c r="B13" s="14">
        <f t="shared" si="0"/>
        <v>3.8567940476999998</v>
      </c>
      <c r="P13" s="26"/>
      <c r="Q13" s="26"/>
    </row>
    <row r="14" spans="1:17" x14ac:dyDescent="0.35">
      <c r="A14" s="38">
        <v>70</v>
      </c>
      <c r="B14" s="14">
        <f t="shared" si="0"/>
        <v>3.6094484476999997</v>
      </c>
      <c r="P14" s="26"/>
      <c r="Q14" s="26"/>
    </row>
    <row r="15" spans="1:17" x14ac:dyDescent="0.35">
      <c r="A15" s="38">
        <v>80</v>
      </c>
      <c r="B15" s="14">
        <f t="shared" si="0"/>
        <v>3.3621028476999997</v>
      </c>
      <c r="P15" s="26"/>
      <c r="Q15" s="26"/>
    </row>
    <row r="16" spans="1:17" x14ac:dyDescent="0.35">
      <c r="A16" s="38">
        <v>90</v>
      </c>
      <c r="B16" s="14">
        <f t="shared" si="0"/>
        <v>3.1147572476999996</v>
      </c>
      <c r="P16" s="26"/>
      <c r="Q16" s="26"/>
    </row>
    <row r="17" spans="1:17" x14ac:dyDescent="0.35">
      <c r="A17" s="38">
        <v>100</v>
      </c>
      <c r="B17" s="14">
        <f t="shared" si="0"/>
        <v>2.8674116476999996</v>
      </c>
      <c r="P17" s="26"/>
      <c r="Q17" s="26"/>
    </row>
    <row r="18" spans="1:17" x14ac:dyDescent="0.35">
      <c r="A18" s="38">
        <v>110</v>
      </c>
      <c r="B18" s="14">
        <f t="shared" si="0"/>
        <v>2.6200660477</v>
      </c>
      <c r="P18" s="26"/>
      <c r="Q18" s="26"/>
    </row>
    <row r="19" spans="1:17" x14ac:dyDescent="0.35">
      <c r="A19" s="38">
        <v>120</v>
      </c>
      <c r="B19" s="14">
        <f t="shared" si="0"/>
        <v>2.4</v>
      </c>
      <c r="P19" s="26"/>
      <c r="Q19" s="26"/>
    </row>
    <row r="20" spans="1:17" x14ac:dyDescent="0.35">
      <c r="A20" s="13"/>
      <c r="B20" s="14"/>
      <c r="P20" s="26"/>
      <c r="Q20" s="26"/>
    </row>
    <row r="21" spans="1:17" x14ac:dyDescent="0.35">
      <c r="A21" s="13"/>
      <c r="B21" s="14"/>
      <c r="P21" s="26"/>
      <c r="Q21" s="26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BCBB5-F665-4918-AB8B-DD715346A29F}">
  <sheetPr>
    <pageSetUpPr fitToPage="1"/>
  </sheetPr>
  <dimension ref="A1:M19"/>
  <sheetViews>
    <sheetView topLeftCell="A2" zoomScaleNormal="100" workbookViewId="0">
      <selection activeCell="B10" sqref="B10"/>
    </sheetView>
  </sheetViews>
  <sheetFormatPr defaultColWidth="8.7265625" defaultRowHeight="14.5" x14ac:dyDescent="0.35"/>
  <cols>
    <col min="1" max="1" width="2.26953125" style="9" customWidth="1"/>
    <col min="2" max="2" width="40" style="9" bestFit="1" customWidth="1"/>
    <col min="3" max="9" width="10.54296875" style="9" customWidth="1"/>
    <col min="10" max="10" width="5.1796875" style="9" customWidth="1"/>
    <col min="11" max="16384" width="8.7265625" style="9"/>
  </cols>
  <sheetData>
    <row r="1" spans="1:13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6" x14ac:dyDescent="0.35">
      <c r="A2" s="8"/>
      <c r="B2" s="33" t="s">
        <v>16</v>
      </c>
      <c r="C2" s="30"/>
      <c r="D2" s="31"/>
      <c r="E2" s="32"/>
      <c r="F2" s="32"/>
      <c r="G2" s="32"/>
      <c r="H2" s="31"/>
      <c r="I2" s="31"/>
      <c r="J2" s="31"/>
      <c r="K2" s="8"/>
      <c r="L2" s="8"/>
      <c r="M2" s="8"/>
    </row>
    <row r="3" spans="1:13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7" spans="1:13" ht="21" x14ac:dyDescent="0.5">
      <c r="B7" s="18" t="s">
        <v>23</v>
      </c>
      <c r="C7" s="39">
        <v>2530</v>
      </c>
      <c r="D7" s="39">
        <v>2530</v>
      </c>
      <c r="E7" s="39">
        <v>2530</v>
      </c>
      <c r="F7" s="39">
        <v>2530</v>
      </c>
      <c r="G7" s="39">
        <v>2530</v>
      </c>
      <c r="H7" s="39">
        <v>2530</v>
      </c>
      <c r="I7" s="39"/>
    </row>
    <row r="8" spans="1:13" ht="21" x14ac:dyDescent="0.5">
      <c r="B8" s="18"/>
      <c r="C8" s="19"/>
      <c r="D8" s="19"/>
      <c r="E8" s="19"/>
      <c r="F8" s="19"/>
      <c r="G8" s="19"/>
      <c r="H8" s="19"/>
      <c r="I8" s="19"/>
    </row>
    <row r="9" spans="1:13" ht="21" x14ac:dyDescent="0.5">
      <c r="B9" s="18" t="s">
        <v>24</v>
      </c>
      <c r="C9" s="39">
        <v>12</v>
      </c>
      <c r="D9" s="39">
        <v>20</v>
      </c>
      <c r="E9" s="39">
        <v>35</v>
      </c>
      <c r="F9" s="39">
        <v>60</v>
      </c>
      <c r="G9" s="39">
        <v>80</v>
      </c>
      <c r="H9" s="39">
        <v>105</v>
      </c>
      <c r="I9" s="39"/>
    </row>
    <row r="10" spans="1:13" ht="21" x14ac:dyDescent="0.5">
      <c r="B10" s="18"/>
      <c r="C10" s="20"/>
      <c r="D10" s="20"/>
      <c r="E10" s="20"/>
      <c r="F10" s="20"/>
      <c r="G10" s="20"/>
      <c r="H10" s="20"/>
      <c r="I10" s="20"/>
    </row>
    <row r="11" spans="1:13" ht="21" x14ac:dyDescent="0.5">
      <c r="B11" s="18" t="s">
        <v>25</v>
      </c>
      <c r="C11" s="39">
        <v>20</v>
      </c>
      <c r="D11" s="39">
        <v>35</v>
      </c>
      <c r="E11" s="39">
        <v>60</v>
      </c>
      <c r="F11" s="39">
        <v>80</v>
      </c>
      <c r="G11" s="39">
        <v>105</v>
      </c>
      <c r="H11" s="39">
        <v>130</v>
      </c>
      <c r="I11" s="39"/>
    </row>
    <row r="12" spans="1:13" ht="21.5" thickBot="1" x14ac:dyDescent="0.55000000000000004">
      <c r="B12" s="18"/>
    </row>
    <row r="13" spans="1:13" ht="28.5" x14ac:dyDescent="0.65">
      <c r="B13" s="21" t="s">
        <v>15</v>
      </c>
      <c r="C13" s="27">
        <f>IF(C9="","",IF(AVERAGE(C9,C11)&gt;118.8,2.4,-0.02473456*(AVERAGE(C$9,C$11))+5.3408676477))</f>
        <v>4.9451146876999994</v>
      </c>
      <c r="D13" s="27">
        <f t="shared" ref="D13:I13" si="0">IF(D9="","",IF(AVERAGE(D9,D11)&gt;118.8,2.4,-0.02473456*(AVERAGE(D$9,D$11))+5.3408676477))</f>
        <v>4.6606672476999993</v>
      </c>
      <c r="E13" s="27">
        <f t="shared" si="0"/>
        <v>4.1659760476999992</v>
      </c>
      <c r="F13" s="27">
        <f t="shared" si="0"/>
        <v>3.6094484476999997</v>
      </c>
      <c r="G13" s="27">
        <f t="shared" si="0"/>
        <v>3.0529208476999998</v>
      </c>
      <c r="H13" s="27">
        <f t="shared" si="0"/>
        <v>2.4345568476999997</v>
      </c>
      <c r="I13" s="27" t="str">
        <f t="shared" si="0"/>
        <v/>
      </c>
    </row>
    <row r="14" spans="1:13" ht="28.5" x14ac:dyDescent="0.65">
      <c r="B14" s="22"/>
      <c r="C14" s="28"/>
      <c r="D14" s="23"/>
      <c r="E14" s="23"/>
      <c r="F14" s="23"/>
      <c r="G14" s="23"/>
      <c r="H14" s="23"/>
      <c r="I14" s="23"/>
    </row>
    <row r="15" spans="1:13" ht="29" thickBot="1" x14ac:dyDescent="0.7">
      <c r="B15" s="24" t="s">
        <v>14</v>
      </c>
      <c r="C15" s="29">
        <f>IF(C13="","",C$7*C$13/10000)</f>
        <v>1.2511140159880998</v>
      </c>
      <c r="D15" s="29">
        <f t="shared" ref="D15:I15" si="1">IF(D13="","",D$7*D$13/10000)</f>
        <v>1.1791488136680999</v>
      </c>
      <c r="E15" s="29">
        <f t="shared" si="1"/>
        <v>1.0539919400680997</v>
      </c>
      <c r="F15" s="29">
        <f t="shared" si="1"/>
        <v>0.9131904572681</v>
      </c>
      <c r="G15" s="29">
        <f t="shared" si="1"/>
        <v>0.77238897446809995</v>
      </c>
      <c r="H15" s="29">
        <f t="shared" si="1"/>
        <v>0.61594288246809992</v>
      </c>
      <c r="I15" s="29" t="str">
        <f t="shared" si="1"/>
        <v/>
      </c>
    </row>
    <row r="17" spans="2:10" ht="23.5" x14ac:dyDescent="0.55000000000000004">
      <c r="B17" s="34" t="s">
        <v>19</v>
      </c>
      <c r="C17" s="37">
        <f xml:space="preserve"> IF(C9="","", -0.0888908317*(AVERAGE(C9,C11)*2.2046)^2 + 55.0608060611*AVERAGE(C9,C11)*2.2046 + 105.1138039647)</f>
        <v>1936.7062925028661</v>
      </c>
      <c r="D17" s="37">
        <f t="shared" ref="D17:I17" si="2" xml:space="preserve"> IF(D9="","", -0.0888908317*(AVERAGE(D9,D11)*2.2046)^2 + 55.0608060611*AVERAGE(D9,D11)*2.2046 + 105.1138039647)</f>
        <v>3116.5330659293268</v>
      </c>
      <c r="E17" s="37">
        <f t="shared" si="2"/>
        <v>4896.2251415879391</v>
      </c>
      <c r="F17" s="37">
        <f t="shared" si="2"/>
        <v>6485.2474986469024</v>
      </c>
      <c r="G17" s="37">
        <f t="shared" si="2"/>
        <v>7636.8367907043639</v>
      </c>
      <c r="H17" s="37">
        <f t="shared" si="2"/>
        <v>8403.3416686059554</v>
      </c>
      <c r="I17" s="37" t="str">
        <f t="shared" si="2"/>
        <v/>
      </c>
      <c r="J17" s="37"/>
    </row>
    <row r="18" spans="2:10" ht="23.5" x14ac:dyDescent="0.55000000000000004">
      <c r="B18" s="34" t="s">
        <v>20</v>
      </c>
      <c r="C18" s="35">
        <f>C17/C7</f>
        <v>0.76549655830152807</v>
      </c>
      <c r="D18" s="35">
        <f t="shared" ref="D18:H18" si="3">D17/D7</f>
        <v>1.2318312513554652</v>
      </c>
      <c r="E18" s="35">
        <f t="shared" si="3"/>
        <v>1.9352668543825846</v>
      </c>
      <c r="F18" s="35">
        <f t="shared" si="3"/>
        <v>2.563338932271503</v>
      </c>
      <c r="G18" s="35">
        <f t="shared" si="3"/>
        <v>3.0185125654957958</v>
      </c>
      <c r="H18" s="35">
        <f t="shared" si="3"/>
        <v>3.3214789203976109</v>
      </c>
    </row>
    <row r="19" spans="2:10" ht="23.5" x14ac:dyDescent="0.55000000000000004">
      <c r="B19" s="34" t="s">
        <v>18</v>
      </c>
      <c r="C19" s="36">
        <f>C18*C15*10</f>
        <v>9.5772347328169332</v>
      </c>
      <c r="D19" s="36">
        <f t="shared" ref="D19:H19" si="4">D18*D15*10</f>
        <v>14.525123586750876</v>
      </c>
      <c r="E19" s="36">
        <f t="shared" si="4"/>
        <v>20.39755666400189</v>
      </c>
      <c r="F19" s="36">
        <f t="shared" si="4"/>
        <v>23.408166516941371</v>
      </c>
      <c r="G19" s="36">
        <f t="shared" si="4"/>
        <v>23.314658248823712</v>
      </c>
      <c r="H19" s="36">
        <f t="shared" si="4"/>
        <v>20.458413002867371</v>
      </c>
    </row>
  </sheetData>
  <sheetProtection sheet="1" objects="1" scenarios="1"/>
  <dataValidations count="3">
    <dataValidation allowBlank="1" showInputMessage="1" showErrorMessage="1" promptTitle="Energy Level" prompt="Insert here the energy level of your diet" sqref="C7:I7" xr:uid="{23FB808B-3F26-4177-A013-3946DBF5C187}"/>
    <dataValidation allowBlank="1" showInputMessage="1" showErrorMessage="1" errorTitle="STOP" error="Do not modify this cell value" sqref="C13:I14" xr:uid="{57088614-AB57-4FFA-991E-9E74BFD03731}"/>
    <dataValidation allowBlank="1" showInputMessage="1" showErrorMessage="1" promptTitle="Energy Level" prompt="Insert here the energy level for phase 1" sqref="C8:I8" xr:uid="{463A1B8A-A151-4DF4-B007-F646E2635ED7}"/>
  </dataValidations>
  <pageMargins left="0.7" right="0.7" top="0.75" bottom="0.75" header="0.3" footer="0.3"/>
  <pageSetup scale="85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6431-7C02-421D-9454-774FB22F5C1A}">
  <sheetPr codeName="Sheet8"/>
  <dimension ref="A1:E32"/>
  <sheetViews>
    <sheetView workbookViewId="0">
      <selection activeCell="E13" sqref="E13"/>
    </sheetView>
  </sheetViews>
  <sheetFormatPr defaultRowHeight="14.5" x14ac:dyDescent="0.35"/>
  <cols>
    <col min="1" max="1" width="24.1796875" bestFit="1" customWidth="1"/>
    <col min="2" max="2" width="16.1796875" bestFit="1" customWidth="1"/>
    <col min="4" max="4" width="26.453125" bestFit="1" customWidth="1"/>
    <col min="5" max="5" width="16.1796875" bestFit="1" customWidth="1"/>
  </cols>
  <sheetData>
    <row r="1" spans="1:5" x14ac:dyDescent="0.35">
      <c r="A1" s="6" t="s">
        <v>9</v>
      </c>
      <c r="D1" s="1" t="s">
        <v>10</v>
      </c>
    </row>
    <row r="2" spans="1:5" x14ac:dyDescent="0.35">
      <c r="A2" t="s">
        <v>4</v>
      </c>
      <c r="B2">
        <v>-5.0000000000000001E-4</v>
      </c>
      <c r="D2" t="s">
        <v>4</v>
      </c>
      <c r="E2" s="7">
        <v>-5.81421E-5</v>
      </c>
    </row>
    <row r="3" spans="1:5" x14ac:dyDescent="0.35">
      <c r="A3" t="s">
        <v>5</v>
      </c>
      <c r="B3">
        <v>0.1065</v>
      </c>
      <c r="D3" t="s">
        <v>5</v>
      </c>
      <c r="E3" s="7">
        <v>0.18147553169</v>
      </c>
    </row>
    <row r="4" spans="1:5" x14ac:dyDescent="0.35">
      <c r="A4" t="s">
        <v>6</v>
      </c>
      <c r="B4">
        <v>16.241</v>
      </c>
      <c r="D4" t="s">
        <v>6</v>
      </c>
      <c r="E4" s="7">
        <v>14.098660689100001</v>
      </c>
    </row>
    <row r="6" spans="1:5" x14ac:dyDescent="0.35">
      <c r="A6" s="5" t="s">
        <v>7</v>
      </c>
      <c r="B6" s="5" t="s">
        <v>8</v>
      </c>
      <c r="D6" s="5" t="s">
        <v>1</v>
      </c>
      <c r="E6" s="5" t="s">
        <v>8</v>
      </c>
    </row>
    <row r="7" spans="1:5" x14ac:dyDescent="0.35">
      <c r="A7" s="2">
        <v>5</v>
      </c>
      <c r="B7" s="3">
        <f>$B$2*(A7^2)+$B$3*A7+$B$4</f>
        <v>16.760999999999999</v>
      </c>
      <c r="D7" s="4">
        <f>A7*2.2046</f>
        <v>11.023</v>
      </c>
      <c r="E7" s="3">
        <f>$E$2*(D7^2)+$E$3*D7+$E$4</f>
        <v>16.092000830159101</v>
      </c>
    </row>
    <row r="8" spans="1:5" x14ac:dyDescent="0.35">
      <c r="A8" s="2">
        <v>10</v>
      </c>
      <c r="B8" s="3">
        <f t="shared" ref="B8:B32" si="0">$B$2*(A8^2)+$B$3*A8+$B$4</f>
        <v>17.256</v>
      </c>
      <c r="D8" s="4">
        <f t="shared" ref="D8:D32" si="1">A8*2.2046</f>
        <v>22.045999999999999</v>
      </c>
      <c r="E8" s="3">
        <f>$E$2*(D8^2)+$E$3*D8+$E$4</f>
        <v>18.071211681698657</v>
      </c>
    </row>
    <row r="9" spans="1:5" x14ac:dyDescent="0.35">
      <c r="A9" s="2">
        <v>15</v>
      </c>
      <c r="B9" s="3">
        <f t="shared" si="0"/>
        <v>17.725999999999999</v>
      </c>
      <c r="D9" s="4">
        <f t="shared" si="1"/>
        <v>33.069000000000003</v>
      </c>
      <c r="E9" s="3">
        <f t="shared" ref="E9:E32" si="2">$E$2*(D9^2)+$E$3*D9+$E$4</f>
        <v>20.036293243718674</v>
      </c>
    </row>
    <row r="10" spans="1:5" x14ac:dyDescent="0.35">
      <c r="A10" s="2">
        <v>20</v>
      </c>
      <c r="B10" s="3">
        <f t="shared" si="0"/>
        <v>18.170999999999999</v>
      </c>
      <c r="D10" s="4">
        <f t="shared" si="1"/>
        <v>44.091999999999999</v>
      </c>
      <c r="E10" s="3">
        <f t="shared" si="2"/>
        <v>21.987245516219147</v>
      </c>
    </row>
    <row r="11" spans="1:5" x14ac:dyDescent="0.35">
      <c r="A11" s="2">
        <v>25</v>
      </c>
      <c r="B11" s="3">
        <f t="shared" si="0"/>
        <v>18.591000000000001</v>
      </c>
      <c r="D11" s="4">
        <f t="shared" si="1"/>
        <v>55.115000000000002</v>
      </c>
      <c r="E11" s="3">
        <f t="shared" si="2"/>
        <v>23.924068499200075</v>
      </c>
    </row>
    <row r="12" spans="1:5" x14ac:dyDescent="0.35">
      <c r="A12" s="2">
        <v>30</v>
      </c>
      <c r="B12" s="3">
        <f t="shared" si="0"/>
        <v>18.986000000000001</v>
      </c>
      <c r="D12" s="4">
        <f t="shared" si="1"/>
        <v>66.138000000000005</v>
      </c>
      <c r="E12" s="3">
        <f t="shared" si="2"/>
        <v>25.846762192661469</v>
      </c>
    </row>
    <row r="13" spans="1:5" x14ac:dyDescent="0.35">
      <c r="A13" s="2">
        <v>35</v>
      </c>
      <c r="B13" s="3">
        <f t="shared" si="0"/>
        <v>19.356000000000002</v>
      </c>
      <c r="D13" s="4">
        <f t="shared" si="1"/>
        <v>77.161000000000001</v>
      </c>
      <c r="E13" s="3">
        <f t="shared" si="2"/>
        <v>27.755326596603318</v>
      </c>
    </row>
    <row r="14" spans="1:5" x14ac:dyDescent="0.35">
      <c r="A14" s="2">
        <v>40</v>
      </c>
      <c r="B14" s="3">
        <f t="shared" si="0"/>
        <v>19.701000000000001</v>
      </c>
      <c r="D14" s="4">
        <f t="shared" si="1"/>
        <v>88.183999999999997</v>
      </c>
      <c r="E14" s="3">
        <f>$E$2*(D14^2)+$E$3*D14+$E$4</f>
        <v>29.649761711025626</v>
      </c>
    </row>
    <row r="15" spans="1:5" x14ac:dyDescent="0.35">
      <c r="A15" s="2">
        <v>45</v>
      </c>
      <c r="B15" s="3">
        <f t="shared" si="0"/>
        <v>20.021000000000001</v>
      </c>
      <c r="D15" s="4">
        <f t="shared" si="1"/>
        <v>99.207000000000008</v>
      </c>
      <c r="E15" s="3">
        <f t="shared" si="2"/>
        <v>31.530067535928389</v>
      </c>
    </row>
    <row r="16" spans="1:5" x14ac:dyDescent="0.35">
      <c r="A16" s="2">
        <v>50</v>
      </c>
      <c r="B16" s="3">
        <f t="shared" si="0"/>
        <v>20.315999999999999</v>
      </c>
      <c r="D16" s="4">
        <f t="shared" si="1"/>
        <v>110.23</v>
      </c>
      <c r="E16" s="3">
        <f t="shared" si="2"/>
        <v>33.396244071311614</v>
      </c>
    </row>
    <row r="17" spans="1:5" x14ac:dyDescent="0.35">
      <c r="A17" s="2">
        <v>55</v>
      </c>
      <c r="B17" s="3">
        <f t="shared" si="0"/>
        <v>20.585999999999999</v>
      </c>
      <c r="D17" s="4">
        <f t="shared" si="1"/>
        <v>121.253</v>
      </c>
      <c r="E17" s="3">
        <f t="shared" si="2"/>
        <v>35.248291317175294</v>
      </c>
    </row>
    <row r="18" spans="1:5" x14ac:dyDescent="0.35">
      <c r="A18" s="2">
        <v>60</v>
      </c>
      <c r="B18" s="3">
        <f t="shared" si="0"/>
        <v>20.831</v>
      </c>
      <c r="D18" s="4">
        <f t="shared" si="1"/>
        <v>132.27600000000001</v>
      </c>
      <c r="E18" s="3">
        <f t="shared" si="2"/>
        <v>37.08620927351943</v>
      </c>
    </row>
    <row r="19" spans="1:5" x14ac:dyDescent="0.35">
      <c r="A19" s="2">
        <v>65</v>
      </c>
      <c r="B19" s="3">
        <f t="shared" si="0"/>
        <v>21.050999999999998</v>
      </c>
      <c r="D19" s="4">
        <f t="shared" si="1"/>
        <v>143.29900000000001</v>
      </c>
      <c r="E19" s="3">
        <f t="shared" si="2"/>
        <v>38.909997940344027</v>
      </c>
    </row>
    <row r="20" spans="1:5" x14ac:dyDescent="0.35">
      <c r="A20" s="2">
        <v>70</v>
      </c>
      <c r="B20" s="3">
        <f t="shared" si="0"/>
        <v>21.245999999999999</v>
      </c>
      <c r="D20" s="4">
        <f t="shared" si="1"/>
        <v>154.322</v>
      </c>
      <c r="E20" s="3">
        <f t="shared" si="2"/>
        <v>40.71965731764908</v>
      </c>
    </row>
    <row r="21" spans="1:5" x14ac:dyDescent="0.35">
      <c r="A21" s="2">
        <v>75</v>
      </c>
      <c r="B21" s="3">
        <f t="shared" si="0"/>
        <v>21.416</v>
      </c>
      <c r="D21" s="4">
        <f t="shared" si="1"/>
        <v>165.345</v>
      </c>
      <c r="E21" s="3">
        <f t="shared" si="2"/>
        <v>42.515187405434595</v>
      </c>
    </row>
    <row r="22" spans="1:5" x14ac:dyDescent="0.35">
      <c r="A22" s="2">
        <v>80</v>
      </c>
      <c r="B22" s="3">
        <f t="shared" si="0"/>
        <v>21.561</v>
      </c>
      <c r="D22" s="4">
        <f t="shared" si="1"/>
        <v>176.36799999999999</v>
      </c>
      <c r="E22" s="3">
        <f t="shared" si="2"/>
        <v>44.296588203700573</v>
      </c>
    </row>
    <row r="23" spans="1:5" x14ac:dyDescent="0.35">
      <c r="A23" s="2">
        <v>85</v>
      </c>
      <c r="B23" s="3">
        <f t="shared" si="0"/>
        <v>21.680999999999997</v>
      </c>
      <c r="D23" s="4">
        <f t="shared" si="1"/>
        <v>187.39100000000002</v>
      </c>
      <c r="E23" s="3">
        <f t="shared" si="2"/>
        <v>46.063859712447005</v>
      </c>
    </row>
    <row r="24" spans="1:5" x14ac:dyDescent="0.35">
      <c r="A24" s="2">
        <v>90</v>
      </c>
      <c r="B24" s="3">
        <f t="shared" si="0"/>
        <v>21.776</v>
      </c>
      <c r="D24" s="4">
        <f t="shared" si="1"/>
        <v>198.41400000000002</v>
      </c>
      <c r="E24" s="3">
        <f t="shared" si="2"/>
        <v>47.817001931673886</v>
      </c>
    </row>
    <row r="25" spans="1:5" x14ac:dyDescent="0.35">
      <c r="A25" s="2">
        <v>95</v>
      </c>
      <c r="B25" s="3">
        <f t="shared" si="0"/>
        <v>21.846</v>
      </c>
      <c r="D25" s="4">
        <f t="shared" si="1"/>
        <v>209.43700000000001</v>
      </c>
      <c r="E25" s="3">
        <f t="shared" si="2"/>
        <v>49.556014861381236</v>
      </c>
    </row>
    <row r="26" spans="1:5" x14ac:dyDescent="0.35">
      <c r="A26" s="2">
        <v>100</v>
      </c>
      <c r="B26" s="3">
        <f t="shared" si="0"/>
        <v>21.890999999999998</v>
      </c>
      <c r="D26" s="4">
        <f t="shared" si="1"/>
        <v>220.46</v>
      </c>
      <c r="E26" s="3">
        <f t="shared" si="2"/>
        <v>51.280898501569041</v>
      </c>
    </row>
    <row r="27" spans="1:5" x14ac:dyDescent="0.35">
      <c r="A27" s="2">
        <v>105</v>
      </c>
      <c r="B27" s="3">
        <f t="shared" si="0"/>
        <v>21.910999999999998</v>
      </c>
      <c r="D27" s="4">
        <f t="shared" si="1"/>
        <v>231.483</v>
      </c>
      <c r="E27" s="3">
        <f t="shared" si="2"/>
        <v>52.991652852237301</v>
      </c>
    </row>
    <row r="28" spans="1:5" x14ac:dyDescent="0.35">
      <c r="A28" s="2">
        <v>110</v>
      </c>
      <c r="B28" s="3">
        <f t="shared" si="0"/>
        <v>21.905999999999999</v>
      </c>
      <c r="D28" s="4">
        <f t="shared" si="1"/>
        <v>242.506</v>
      </c>
      <c r="E28" s="3">
        <f t="shared" si="2"/>
        <v>54.688277913386031</v>
      </c>
    </row>
    <row r="29" spans="1:5" x14ac:dyDescent="0.35">
      <c r="A29" s="2">
        <v>115</v>
      </c>
      <c r="B29" s="3">
        <f t="shared" si="0"/>
        <v>21.876000000000001</v>
      </c>
      <c r="D29" s="4">
        <f t="shared" si="1"/>
        <v>253.52900000000002</v>
      </c>
      <c r="E29" s="3">
        <f t="shared" si="2"/>
        <v>56.370773685015209</v>
      </c>
    </row>
    <row r="30" spans="1:5" x14ac:dyDescent="0.35">
      <c r="A30" s="2">
        <v>120</v>
      </c>
      <c r="B30" s="3">
        <f t="shared" si="0"/>
        <v>21.820999999999998</v>
      </c>
      <c r="D30" s="4">
        <f t="shared" si="1"/>
        <v>264.55200000000002</v>
      </c>
      <c r="E30" s="3">
        <f t="shared" si="2"/>
        <v>58.039140167124842</v>
      </c>
    </row>
    <row r="31" spans="1:5" x14ac:dyDescent="0.35">
      <c r="A31" s="2">
        <v>125</v>
      </c>
      <c r="B31" s="3">
        <f t="shared" si="0"/>
        <v>21.741</v>
      </c>
      <c r="D31" s="4">
        <f t="shared" si="1"/>
        <v>275.57499999999999</v>
      </c>
      <c r="E31" s="3">
        <f t="shared" si="2"/>
        <v>59.693377359714937</v>
      </c>
    </row>
    <row r="32" spans="1:5" x14ac:dyDescent="0.35">
      <c r="A32" s="2">
        <v>130</v>
      </c>
      <c r="B32" s="3">
        <f t="shared" si="0"/>
        <v>21.635999999999999</v>
      </c>
      <c r="D32" s="4">
        <f t="shared" si="1"/>
        <v>286.59800000000001</v>
      </c>
      <c r="E32" s="3">
        <f t="shared" si="2"/>
        <v>61.333485262785494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D115-9EE9-481F-8FD6-41941F1225E2}">
  <sheetPr codeName="Sheet9"/>
  <dimension ref="A1"/>
  <sheetViews>
    <sheetView topLeftCell="A2" workbookViewId="0">
      <selection activeCell="D6" sqref="D6:D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Lys Curve - lb</vt:lpstr>
      <vt:lpstr>Lys Calculator -lb</vt:lpstr>
      <vt:lpstr>Lys Curve -metric</vt:lpstr>
      <vt:lpstr>Lys Calculator - Metric</vt:lpstr>
      <vt:lpstr>Vicoza curve</vt:lpstr>
      <vt:lpstr>Notes</vt:lpstr>
      <vt:lpstr>'Lys Calculator - Metric'!Print_Area</vt:lpstr>
      <vt:lpstr>'Lys Calculator -lb'!Print_Area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Elias Ghiggi Faccin</dc:creator>
  <cp:lastModifiedBy>Operador</cp:lastModifiedBy>
  <cp:lastPrinted>2022-02-22T21:52:34Z</cp:lastPrinted>
  <dcterms:created xsi:type="dcterms:W3CDTF">2021-09-30T20:21:27Z</dcterms:created>
  <dcterms:modified xsi:type="dcterms:W3CDTF">2022-05-25T17:50:48Z</dcterms:modified>
</cp:coreProperties>
</file>