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raferoyall/Dropbox/Mac/Desktop/DNA Finisher Lysine Studies/Calculator/"/>
    </mc:Choice>
  </mc:AlternateContent>
  <xr:revisionPtr revIDLastSave="0" documentId="13_ncr:1_{B1D8EF2D-E4E8-F745-AC8E-2EDFA1EBCA46}" xr6:coauthVersionLast="47" xr6:coauthVersionMax="47" xr10:uidLastSave="{00000000-0000-0000-0000-000000000000}"/>
  <bookViews>
    <workbookView xWindow="420" yWindow="500" windowWidth="26180" windowHeight="12980" tabRatio="923" xr2:uid="{00000000-000D-0000-FFFF-FFFF00000000}"/>
  </bookViews>
  <sheets>
    <sheet name="Lys Calculator-kg" sheetId="30284" r:id="rId1"/>
    <sheet name="Nutrients" sheetId="30248" state="hidden" r:id="rId2"/>
    <sheet name="GF diets " sheetId="30276" state="hidden" r:id="rId3"/>
    <sheet name="Lys Curve" sheetId="30282" state="hidden" r:id="rId4"/>
    <sheet name="IOFC Calculations" sheetId="30287" state="hidden" r:id="rId5"/>
  </sheets>
  <externalReferences>
    <externalReference r:id="rId6"/>
  </externalReferences>
  <definedNames>
    <definedName name="_xlnm._FilterDatabase" localSheetId="2" hidden="1">'GF diets '!$A$8:$A$9</definedName>
    <definedName name="Drug_costs_per_gram">'[1]Feed drugs'!$A$2:$J$19</definedName>
    <definedName name="Growth_Performance_1" localSheetId="0">OFFSET('Lys Calculator-kg'!#REF!,0,0,COUNTA('Lys Calculator-kg'!#REF!)-1)</definedName>
    <definedName name="IOFC_1">OFFSET('Lys Calculator-kg'!#REF!,0,0,COUNTA('Lys Calculator-kg'!#REF!)-1)</definedName>
    <definedName name="_xlnm.Print_Area" localSheetId="2">'GF diets '!$A$2:$AE$294</definedName>
    <definedName name="_xlnm.Print_Area" localSheetId="0">'Lys Calculator-kg'!$A$1:$R$28</definedName>
    <definedName name="_xlnm.Print_Titles" localSheetId="2">'GF diets '!$A:$A</definedName>
    <definedName name="Weight_1" localSheetId="0">OFFSET('Lys Calculator-kg'!#REF!,0,0,COUNTA('Lys Calculator-kg'!#REF!)-1)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1" i="30287" l="1"/>
  <c r="M52" i="30287"/>
  <c r="M53" i="30287"/>
  <c r="M50" i="30287"/>
  <c r="L38" i="30287"/>
  <c r="M49" i="30287"/>
  <c r="L37" i="30287"/>
  <c r="L39" i="30287"/>
  <c r="L40" i="30287"/>
  <c r="L41" i="30287"/>
  <c r="L25" i="30287"/>
  <c r="L24" i="30287"/>
  <c r="K53" i="30287"/>
  <c r="L53" i="30287" s="1"/>
  <c r="K52" i="30287"/>
  <c r="L52" i="30287" s="1"/>
  <c r="K51" i="30287"/>
  <c r="L51" i="30287" s="1"/>
  <c r="K50" i="30287"/>
  <c r="L50" i="30287" s="1"/>
  <c r="L49" i="30287"/>
  <c r="K49" i="30287"/>
  <c r="K41" i="30287"/>
  <c r="K40" i="30287"/>
  <c r="K39" i="30287"/>
  <c r="K38" i="30287"/>
  <c r="K37" i="30287"/>
  <c r="B28" i="30284" l="1"/>
  <c r="D7" i="30284"/>
  <c r="BQ4" i="30284"/>
  <c r="BQ5" i="30284"/>
  <c r="BQ6" i="30284"/>
  <c r="BQ7" i="30284"/>
  <c r="BQ8" i="30284"/>
  <c r="BQ3" i="30284"/>
  <c r="D84" i="30287" l="1"/>
  <c r="E84" i="30287"/>
  <c r="F84" i="30287"/>
  <c r="G84" i="30287"/>
  <c r="H84" i="30287"/>
  <c r="C84" i="30287"/>
  <c r="D68" i="30287"/>
  <c r="E68" i="30287"/>
  <c r="F68" i="30287"/>
  <c r="G68" i="30287"/>
  <c r="H68" i="30287"/>
  <c r="I68" i="30287"/>
  <c r="C68" i="30287"/>
  <c r="D52" i="30287"/>
  <c r="E52" i="30287"/>
  <c r="F52" i="30287"/>
  <c r="G52" i="30287"/>
  <c r="H52" i="30287"/>
  <c r="C52" i="30287"/>
  <c r="D36" i="30287"/>
  <c r="E36" i="30287"/>
  <c r="F36" i="30287"/>
  <c r="G36" i="30287"/>
  <c r="H36" i="30287"/>
  <c r="C36" i="30287"/>
  <c r="D20" i="30287" l="1"/>
  <c r="E20" i="30287"/>
  <c r="F20" i="30287"/>
  <c r="G20" i="30287"/>
  <c r="H20" i="30287"/>
  <c r="C20" i="30287"/>
  <c r="D19" i="30284"/>
  <c r="E19" i="30284"/>
  <c r="F19" i="30284"/>
  <c r="G19" i="30284"/>
  <c r="H19" i="30284"/>
  <c r="I19" i="30284"/>
  <c r="BU4" i="30284"/>
  <c r="BU5" i="30284"/>
  <c r="BU6" i="30284"/>
  <c r="BU7" i="30284"/>
  <c r="BU8" i="30284"/>
  <c r="BU3" i="30284"/>
  <c r="D81" i="30287" l="1"/>
  <c r="E81" i="30287"/>
  <c r="F81" i="30287"/>
  <c r="G81" i="30287"/>
  <c r="H81" i="30287"/>
  <c r="C81" i="30287"/>
  <c r="D79" i="30287"/>
  <c r="E79" i="30287"/>
  <c r="F79" i="30287"/>
  <c r="G79" i="30287"/>
  <c r="H79" i="30287"/>
  <c r="C79" i="30287"/>
  <c r="D63" i="30287"/>
  <c r="E63" i="30287"/>
  <c r="F63" i="30287"/>
  <c r="G63" i="30287"/>
  <c r="H63" i="30287"/>
  <c r="I63" i="30287"/>
  <c r="C63" i="30287"/>
  <c r="D65" i="30287" l="1"/>
  <c r="E65" i="30287"/>
  <c r="F65" i="30287"/>
  <c r="G65" i="30287"/>
  <c r="H65" i="30287"/>
  <c r="I65" i="30287"/>
  <c r="C65" i="30287"/>
  <c r="D49" i="30287"/>
  <c r="E49" i="30287"/>
  <c r="F49" i="30287"/>
  <c r="G49" i="30287"/>
  <c r="H49" i="30287"/>
  <c r="C49" i="30287"/>
  <c r="D47" i="30287"/>
  <c r="E47" i="30287"/>
  <c r="F47" i="30287"/>
  <c r="G47" i="30287"/>
  <c r="H47" i="30287"/>
  <c r="C47" i="30287"/>
  <c r="D33" i="30287"/>
  <c r="E33" i="30287"/>
  <c r="F33" i="30287"/>
  <c r="G33" i="30287"/>
  <c r="H33" i="30287"/>
  <c r="C33" i="30287"/>
  <c r="D31" i="30287"/>
  <c r="E31" i="30287"/>
  <c r="F31" i="30287"/>
  <c r="G31" i="30287"/>
  <c r="H31" i="30287"/>
  <c r="C31" i="30287"/>
  <c r="D17" i="30287"/>
  <c r="E17" i="30287"/>
  <c r="F17" i="30287"/>
  <c r="G17" i="30287"/>
  <c r="H17" i="30287"/>
  <c r="C17" i="30287"/>
  <c r="D15" i="30287"/>
  <c r="E15" i="30287"/>
  <c r="F15" i="30287"/>
  <c r="G15" i="30287"/>
  <c r="H15" i="30287"/>
  <c r="C15" i="30287"/>
  <c r="C19" i="30284"/>
  <c r="DX128" i="30248" l="1"/>
  <c r="DX127" i="30248"/>
  <c r="DX126" i="30248"/>
  <c r="DX125" i="30248"/>
  <c r="DX124" i="30248"/>
  <c r="DX115" i="30248"/>
  <c r="DX112" i="30248"/>
  <c r="DX79" i="30248"/>
  <c r="E3" i="30284"/>
  <c r="D3" i="30287" l="1"/>
  <c r="D8" i="30287" s="1"/>
  <c r="C3" i="30287"/>
  <c r="C4" i="30287" l="1"/>
  <c r="D5" i="30287"/>
  <c r="D6" i="30287"/>
  <c r="D7" i="30287"/>
  <c r="D4" i="30287"/>
  <c r="C7" i="30287"/>
  <c r="C5" i="30287"/>
  <c r="C6" i="30287"/>
  <c r="L26" i="30287" s="1"/>
  <c r="C8" i="30287"/>
  <c r="L28" i="30287" s="1"/>
  <c r="L27" i="30287" l="1"/>
  <c r="DW128" i="30248"/>
  <c r="DW127" i="30248"/>
  <c r="DW126" i="30248"/>
  <c r="DW129" i="30248"/>
  <c r="DW113" i="30248"/>
  <c r="DW114" i="30248"/>
  <c r="DW125" i="30248"/>
  <c r="DW124" i="30248"/>
  <c r="DW112" i="30248"/>
  <c r="DW115" i="30248" l="1"/>
  <c r="DW79" i="30248"/>
  <c r="DX24" i="30248"/>
  <c r="DW24" i="30248" s="1"/>
  <c r="I20" i="30284" l="1"/>
  <c r="C20" i="30284"/>
  <c r="H20" i="30284"/>
  <c r="G20" i="30284"/>
  <c r="F20" i="30284"/>
  <c r="D20" i="30284"/>
  <c r="F42" i="30284" l="1"/>
  <c r="F46" i="30284"/>
  <c r="G42" i="30284"/>
  <c r="G46" i="30284"/>
  <c r="H46" i="30284"/>
  <c r="H42" i="30284"/>
  <c r="D46" i="30284"/>
  <c r="D42" i="30284"/>
  <c r="I46" i="30284"/>
  <c r="I42" i="30284"/>
  <c r="C42" i="30284"/>
  <c r="C46" i="30284"/>
  <c r="E20" i="30284"/>
  <c r="D44" i="30284" l="1"/>
  <c r="D48" i="30284"/>
  <c r="G44" i="30284"/>
  <c r="G48" i="30284"/>
  <c r="E42" i="30284"/>
  <c r="E46" i="30284"/>
  <c r="H44" i="30284"/>
  <c r="H48" i="30284"/>
  <c r="F48" i="30284"/>
  <c r="F44" i="30284"/>
  <c r="I48" i="30284"/>
  <c r="I44" i="30284"/>
  <c r="C48" i="30284"/>
  <c r="C44" i="30284"/>
  <c r="M28" i="30287"/>
  <c r="M27" i="30287"/>
  <c r="M26" i="30287"/>
  <c r="M25" i="30287"/>
  <c r="M24" i="30287"/>
  <c r="D83" i="30287"/>
  <c r="E83" i="30287"/>
  <c r="F83" i="30287"/>
  <c r="G83" i="30287"/>
  <c r="H83" i="30287"/>
  <c r="C83" i="30287"/>
  <c r="D82" i="30287"/>
  <c r="E82" i="30287"/>
  <c r="F82" i="30287"/>
  <c r="G82" i="30287"/>
  <c r="H82" i="30287"/>
  <c r="C82" i="30287"/>
  <c r="D67" i="30287"/>
  <c r="E67" i="30287"/>
  <c r="F67" i="30287"/>
  <c r="G67" i="30287"/>
  <c r="H67" i="30287"/>
  <c r="I67" i="30287"/>
  <c r="C67" i="30287"/>
  <c r="D66" i="30287"/>
  <c r="E66" i="30287"/>
  <c r="F66" i="30287"/>
  <c r="G66" i="30287"/>
  <c r="H66" i="30287"/>
  <c r="I66" i="30287"/>
  <c r="C66" i="30287"/>
  <c r="D51" i="30287"/>
  <c r="E51" i="30287"/>
  <c r="F51" i="30287"/>
  <c r="G51" i="30287"/>
  <c r="H51" i="30287"/>
  <c r="C51" i="30287"/>
  <c r="D50" i="30287"/>
  <c r="E50" i="30287"/>
  <c r="F50" i="30287"/>
  <c r="G50" i="30287"/>
  <c r="H50" i="30287"/>
  <c r="C50" i="30287"/>
  <c r="E48" i="30284" l="1"/>
  <c r="E44" i="30284"/>
  <c r="H69" i="30287"/>
  <c r="D69" i="30287"/>
  <c r="G69" i="30287"/>
  <c r="C69" i="30287"/>
  <c r="F69" i="30287"/>
  <c r="G53" i="30287"/>
  <c r="I69" i="30287"/>
  <c r="E69" i="30287"/>
  <c r="G85" i="30287"/>
  <c r="C85" i="30287"/>
  <c r="E85" i="30287"/>
  <c r="F85" i="30287"/>
  <c r="H85" i="30287"/>
  <c r="D85" i="30287"/>
  <c r="C53" i="30287"/>
  <c r="E53" i="30287"/>
  <c r="H53" i="30287"/>
  <c r="D53" i="30287"/>
  <c r="F53" i="30287"/>
  <c r="D35" i="30287"/>
  <c r="E35" i="30287"/>
  <c r="F35" i="30287"/>
  <c r="G35" i="30287"/>
  <c r="H35" i="30287"/>
  <c r="C35" i="30287"/>
  <c r="D34" i="30287"/>
  <c r="D37" i="30287" s="1"/>
  <c r="E34" i="30287"/>
  <c r="F34" i="30287"/>
  <c r="G34" i="30287"/>
  <c r="H34" i="30287"/>
  <c r="H37" i="30287" s="1"/>
  <c r="C34" i="30287"/>
  <c r="G37" i="30287" l="1"/>
  <c r="C37" i="30287"/>
  <c r="E37" i="30287"/>
  <c r="F37" i="30287"/>
  <c r="AE220" i="30276"/>
  <c r="AE347" i="30276" s="1"/>
  <c r="AE222" i="30276"/>
  <c r="AE277" i="30276"/>
  <c r="AE278" i="30276"/>
  <c r="AE279" i="30276"/>
  <c r="AE283" i="30276"/>
  <c r="AE284" i="30276"/>
  <c r="AE286" i="30276"/>
  <c r="AE289" i="30276"/>
  <c r="AE290" i="30276"/>
  <c r="AE294" i="30276"/>
  <c r="AE345" i="30276"/>
  <c r="AE346" i="30276"/>
  <c r="W220" i="30276"/>
  <c r="W347" i="30276" s="1"/>
  <c r="W222" i="30276"/>
  <c r="W277" i="30276"/>
  <c r="W278" i="30276"/>
  <c r="W279" i="30276"/>
  <c r="W283" i="30276"/>
  <c r="W284" i="30276"/>
  <c r="W286" i="30276"/>
  <c r="W289" i="30276"/>
  <c r="W290" i="30276"/>
  <c r="W294" i="30276"/>
  <c r="W345" i="30276"/>
  <c r="W346" i="30276"/>
  <c r="AE291" i="30276" l="1"/>
  <c r="W291" i="30276"/>
  <c r="C19" i="30287" l="1"/>
  <c r="D19" i="30287"/>
  <c r="E19" i="30287"/>
  <c r="F19" i="30287"/>
  <c r="G19" i="30287"/>
  <c r="H19" i="30287"/>
  <c r="D18" i="30287"/>
  <c r="E18" i="30287"/>
  <c r="F18" i="30287"/>
  <c r="G18" i="30287"/>
  <c r="H18" i="30287"/>
  <c r="C18" i="30287"/>
  <c r="C21" i="30287" l="1"/>
  <c r="G21" i="30287"/>
  <c r="E21" i="30287"/>
  <c r="H21" i="30287"/>
  <c r="D21" i="30287"/>
  <c r="F21" i="30287"/>
  <c r="AC346" i="30276"/>
  <c r="AC345" i="30276"/>
  <c r="AC294" i="30276"/>
  <c r="AC290" i="30276"/>
  <c r="AC289" i="30276"/>
  <c r="AC286" i="30276"/>
  <c r="AC284" i="30276"/>
  <c r="AC283" i="30276"/>
  <c r="AC279" i="30276"/>
  <c r="AC278" i="30276"/>
  <c r="AC277" i="30276"/>
  <c r="AL270" i="30276"/>
  <c r="AL272" i="30276" s="1"/>
  <c r="AC222" i="30276"/>
  <c r="AC220" i="30276"/>
  <c r="AC347" i="30276" s="1"/>
  <c r="AC291" i="30276" l="1"/>
  <c r="AJ346" i="30276" l="1"/>
  <c r="AB346" i="30276"/>
  <c r="U346" i="30276"/>
  <c r="N346" i="30276"/>
  <c r="G346" i="30276"/>
  <c r="AJ345" i="30276"/>
  <c r="AB345" i="30276"/>
  <c r="U345" i="30276"/>
  <c r="N345" i="30276"/>
  <c r="G345" i="30276"/>
  <c r="AJ294" i="30276"/>
  <c r="AB294" i="30276"/>
  <c r="U294" i="30276"/>
  <c r="N294" i="30276"/>
  <c r="G294" i="30276"/>
  <c r="AJ290" i="30276"/>
  <c r="AB290" i="30276"/>
  <c r="U290" i="30276"/>
  <c r="N290" i="30276"/>
  <c r="G290" i="30276"/>
  <c r="AJ289" i="30276"/>
  <c r="AB289" i="30276"/>
  <c r="U289" i="30276"/>
  <c r="N289" i="30276"/>
  <c r="G289" i="30276"/>
  <c r="AJ286" i="30276"/>
  <c r="AB286" i="30276"/>
  <c r="U286" i="30276"/>
  <c r="N286" i="30276"/>
  <c r="G286" i="30276"/>
  <c r="AJ284" i="30276"/>
  <c r="AB284" i="30276"/>
  <c r="U284" i="30276"/>
  <c r="N284" i="30276"/>
  <c r="G284" i="30276"/>
  <c r="AJ283" i="30276"/>
  <c r="AB283" i="30276"/>
  <c r="U283" i="30276"/>
  <c r="N283" i="30276"/>
  <c r="G283" i="30276"/>
  <c r="AJ279" i="30276"/>
  <c r="AB279" i="30276"/>
  <c r="U279" i="30276"/>
  <c r="N279" i="30276"/>
  <c r="G279" i="30276"/>
  <c r="AJ278" i="30276"/>
  <c r="AB278" i="30276"/>
  <c r="U278" i="30276"/>
  <c r="N278" i="30276"/>
  <c r="G278" i="30276"/>
  <c r="AJ277" i="30276"/>
  <c r="AB277" i="30276"/>
  <c r="U277" i="30276"/>
  <c r="N277" i="30276"/>
  <c r="G277" i="30276"/>
  <c r="AJ222" i="30276"/>
  <c r="AB222" i="30276"/>
  <c r="U222" i="30276"/>
  <c r="N222" i="30276"/>
  <c r="G222" i="30276"/>
  <c r="AJ220" i="30276"/>
  <c r="AJ347" i="30276" s="1"/>
  <c r="AB220" i="30276"/>
  <c r="AB347" i="30276" s="1"/>
  <c r="U220" i="30276"/>
  <c r="U347" i="30276" s="1"/>
  <c r="N220" i="30276"/>
  <c r="N347" i="30276" s="1"/>
  <c r="G220" i="30276"/>
  <c r="G347" i="30276" s="1"/>
  <c r="AI346" i="30276"/>
  <c r="AA346" i="30276"/>
  <c r="T346" i="30276"/>
  <c r="M346" i="30276"/>
  <c r="F346" i="30276"/>
  <c r="AI345" i="30276"/>
  <c r="AA345" i="30276"/>
  <c r="T345" i="30276"/>
  <c r="M345" i="30276"/>
  <c r="F345" i="30276"/>
  <c r="AI294" i="30276"/>
  <c r="AA294" i="30276"/>
  <c r="T294" i="30276"/>
  <c r="M294" i="30276"/>
  <c r="F294" i="30276"/>
  <c r="AI290" i="30276"/>
  <c r="AA290" i="30276"/>
  <c r="T290" i="30276"/>
  <c r="M290" i="30276"/>
  <c r="F290" i="30276"/>
  <c r="AI289" i="30276"/>
  <c r="AA289" i="30276"/>
  <c r="T289" i="30276"/>
  <c r="M289" i="30276"/>
  <c r="F289" i="30276"/>
  <c r="AI286" i="30276"/>
  <c r="AA286" i="30276"/>
  <c r="T286" i="30276"/>
  <c r="M286" i="30276"/>
  <c r="F286" i="30276"/>
  <c r="AI284" i="30276"/>
  <c r="AA284" i="30276"/>
  <c r="T284" i="30276"/>
  <c r="M284" i="30276"/>
  <c r="F284" i="30276"/>
  <c r="AI283" i="30276"/>
  <c r="AA283" i="30276"/>
  <c r="T283" i="30276"/>
  <c r="M283" i="30276"/>
  <c r="F283" i="30276"/>
  <c r="AI279" i="30276"/>
  <c r="AA279" i="30276"/>
  <c r="T279" i="30276"/>
  <c r="M279" i="30276"/>
  <c r="F279" i="30276"/>
  <c r="AI278" i="30276"/>
  <c r="AA278" i="30276"/>
  <c r="T278" i="30276"/>
  <c r="M278" i="30276"/>
  <c r="F278" i="30276"/>
  <c r="AI277" i="30276"/>
  <c r="AA277" i="30276"/>
  <c r="T277" i="30276"/>
  <c r="M277" i="30276"/>
  <c r="F277" i="30276"/>
  <c r="AI222" i="30276"/>
  <c r="AA222" i="30276"/>
  <c r="T222" i="30276"/>
  <c r="M222" i="30276"/>
  <c r="F222" i="30276"/>
  <c r="AI220" i="30276"/>
  <c r="AI347" i="30276" s="1"/>
  <c r="AA220" i="30276"/>
  <c r="AA347" i="30276" s="1"/>
  <c r="T220" i="30276"/>
  <c r="T347" i="30276" s="1"/>
  <c r="M220" i="30276"/>
  <c r="M347" i="30276" s="1"/>
  <c r="F220" i="30276"/>
  <c r="F347" i="30276" s="1"/>
  <c r="AH346" i="30276"/>
  <c r="Z346" i="30276"/>
  <c r="S346" i="30276"/>
  <c r="L346" i="30276"/>
  <c r="E346" i="30276"/>
  <c r="AH345" i="30276"/>
  <c r="Z345" i="30276"/>
  <c r="S345" i="30276"/>
  <c r="L345" i="30276"/>
  <c r="E345" i="30276"/>
  <c r="AH294" i="30276"/>
  <c r="Z294" i="30276"/>
  <c r="S294" i="30276"/>
  <c r="L294" i="30276"/>
  <c r="E294" i="30276"/>
  <c r="AH290" i="30276"/>
  <c r="Z290" i="30276"/>
  <c r="S290" i="30276"/>
  <c r="L290" i="30276"/>
  <c r="E290" i="30276"/>
  <c r="AH289" i="30276"/>
  <c r="Z289" i="30276"/>
  <c r="S289" i="30276"/>
  <c r="L289" i="30276"/>
  <c r="E289" i="30276"/>
  <c r="AH286" i="30276"/>
  <c r="Z286" i="30276"/>
  <c r="S286" i="30276"/>
  <c r="L286" i="30276"/>
  <c r="E286" i="30276"/>
  <c r="AH284" i="30276"/>
  <c r="Z284" i="30276"/>
  <c r="S284" i="30276"/>
  <c r="L284" i="30276"/>
  <c r="E284" i="30276"/>
  <c r="AH283" i="30276"/>
  <c r="Z283" i="30276"/>
  <c r="S283" i="30276"/>
  <c r="L283" i="30276"/>
  <c r="E283" i="30276"/>
  <c r="AH279" i="30276"/>
  <c r="Z279" i="30276"/>
  <c r="S279" i="30276"/>
  <c r="L279" i="30276"/>
  <c r="E279" i="30276"/>
  <c r="AH278" i="30276"/>
  <c r="Z278" i="30276"/>
  <c r="S278" i="30276"/>
  <c r="L278" i="30276"/>
  <c r="E278" i="30276"/>
  <c r="AH277" i="30276"/>
  <c r="Z277" i="30276"/>
  <c r="S277" i="30276"/>
  <c r="L277" i="30276"/>
  <c r="E277" i="30276"/>
  <c r="AH222" i="30276"/>
  <c r="Z222" i="30276"/>
  <c r="S222" i="30276"/>
  <c r="L222" i="30276"/>
  <c r="E222" i="30276"/>
  <c r="AH220" i="30276"/>
  <c r="AH347" i="30276" s="1"/>
  <c r="Z220" i="30276"/>
  <c r="Z347" i="30276" s="1"/>
  <c r="S220" i="30276"/>
  <c r="S347" i="30276" s="1"/>
  <c r="L220" i="30276"/>
  <c r="L347" i="30276" s="1"/>
  <c r="E220" i="30276"/>
  <c r="E347" i="30276" s="1"/>
  <c r="AG346" i="30276"/>
  <c r="Y346" i="30276"/>
  <c r="R346" i="30276"/>
  <c r="K346" i="30276"/>
  <c r="D346" i="30276"/>
  <c r="AG345" i="30276"/>
  <c r="Y345" i="30276"/>
  <c r="R345" i="30276"/>
  <c r="K345" i="30276"/>
  <c r="D345" i="30276"/>
  <c r="AG294" i="30276"/>
  <c r="Y294" i="30276"/>
  <c r="R294" i="30276"/>
  <c r="K294" i="30276"/>
  <c r="D294" i="30276"/>
  <c r="AG290" i="30276"/>
  <c r="Y290" i="30276"/>
  <c r="R290" i="30276"/>
  <c r="K290" i="30276"/>
  <c r="D290" i="30276"/>
  <c r="AG289" i="30276"/>
  <c r="Y289" i="30276"/>
  <c r="R289" i="30276"/>
  <c r="K289" i="30276"/>
  <c r="D289" i="30276"/>
  <c r="AG286" i="30276"/>
  <c r="Y286" i="30276"/>
  <c r="R286" i="30276"/>
  <c r="K286" i="30276"/>
  <c r="D286" i="30276"/>
  <c r="AG284" i="30276"/>
  <c r="Y284" i="30276"/>
  <c r="R284" i="30276"/>
  <c r="K284" i="30276"/>
  <c r="D284" i="30276"/>
  <c r="AG283" i="30276"/>
  <c r="Y283" i="30276"/>
  <c r="R283" i="30276"/>
  <c r="K283" i="30276"/>
  <c r="D283" i="30276"/>
  <c r="AG279" i="30276"/>
  <c r="Y279" i="30276"/>
  <c r="R279" i="30276"/>
  <c r="K279" i="30276"/>
  <c r="D279" i="30276"/>
  <c r="AG278" i="30276"/>
  <c r="Y278" i="30276"/>
  <c r="R278" i="30276"/>
  <c r="K278" i="30276"/>
  <c r="D278" i="30276"/>
  <c r="AG277" i="30276"/>
  <c r="Y277" i="30276"/>
  <c r="R277" i="30276"/>
  <c r="K277" i="30276"/>
  <c r="D277" i="30276"/>
  <c r="AG222" i="30276"/>
  <c r="Y222" i="30276"/>
  <c r="R222" i="30276"/>
  <c r="K222" i="30276"/>
  <c r="D222" i="30276"/>
  <c r="AG220" i="30276"/>
  <c r="AG347" i="30276" s="1"/>
  <c r="Y220" i="30276"/>
  <c r="Y347" i="30276" s="1"/>
  <c r="R220" i="30276"/>
  <c r="R347" i="30276" s="1"/>
  <c r="K220" i="30276"/>
  <c r="K347" i="30276" s="1"/>
  <c r="D220" i="30276"/>
  <c r="D347" i="30276" s="1"/>
  <c r="AF346" i="30276"/>
  <c r="X346" i="30276"/>
  <c r="Q346" i="30276"/>
  <c r="J346" i="30276"/>
  <c r="C346" i="30276"/>
  <c r="AF345" i="30276"/>
  <c r="X345" i="30276"/>
  <c r="Q345" i="30276"/>
  <c r="J345" i="30276"/>
  <c r="C345" i="30276"/>
  <c r="AF294" i="30276"/>
  <c r="X294" i="30276"/>
  <c r="Q294" i="30276"/>
  <c r="J294" i="30276"/>
  <c r="C294" i="30276"/>
  <c r="AF290" i="30276"/>
  <c r="X290" i="30276"/>
  <c r="Q290" i="30276"/>
  <c r="J290" i="30276"/>
  <c r="C290" i="30276"/>
  <c r="AF289" i="30276"/>
  <c r="X289" i="30276"/>
  <c r="Q289" i="30276"/>
  <c r="J289" i="30276"/>
  <c r="C289" i="30276"/>
  <c r="AF286" i="30276"/>
  <c r="X286" i="30276"/>
  <c r="Q286" i="30276"/>
  <c r="J286" i="30276"/>
  <c r="C286" i="30276"/>
  <c r="AF284" i="30276"/>
  <c r="X284" i="30276"/>
  <c r="Q284" i="30276"/>
  <c r="J284" i="30276"/>
  <c r="C284" i="30276"/>
  <c r="AF283" i="30276"/>
  <c r="X283" i="30276"/>
  <c r="Q283" i="30276"/>
  <c r="J283" i="30276"/>
  <c r="C283" i="30276"/>
  <c r="AF279" i="30276"/>
  <c r="X279" i="30276"/>
  <c r="Q279" i="30276"/>
  <c r="J279" i="30276"/>
  <c r="C279" i="30276"/>
  <c r="AF278" i="30276"/>
  <c r="X278" i="30276"/>
  <c r="Q278" i="30276"/>
  <c r="J278" i="30276"/>
  <c r="C278" i="30276"/>
  <c r="AF277" i="30276"/>
  <c r="X277" i="30276"/>
  <c r="Q277" i="30276"/>
  <c r="J277" i="30276"/>
  <c r="C277" i="30276"/>
  <c r="AF222" i="30276"/>
  <c r="X222" i="30276"/>
  <c r="Q222" i="30276"/>
  <c r="J222" i="30276"/>
  <c r="C222" i="30276"/>
  <c r="AF220" i="30276"/>
  <c r="AF347" i="30276" s="1"/>
  <c r="X220" i="30276"/>
  <c r="X347" i="30276" s="1"/>
  <c r="Q220" i="30276"/>
  <c r="Q347" i="30276" s="1"/>
  <c r="J220" i="30276"/>
  <c r="J347" i="30276" s="1"/>
  <c r="C220" i="30276"/>
  <c r="C347" i="30276" s="1"/>
  <c r="B346" i="30276"/>
  <c r="B345" i="30276"/>
  <c r="B294" i="30276"/>
  <c r="B290" i="30276"/>
  <c r="B289" i="30276"/>
  <c r="B286" i="30276"/>
  <c r="B284" i="30276"/>
  <c r="B283" i="30276"/>
  <c r="B279" i="30276"/>
  <c r="B278" i="30276"/>
  <c r="B277" i="30276"/>
  <c r="B222" i="30276"/>
  <c r="B220" i="30276"/>
  <c r="C291" i="30276" l="1"/>
  <c r="AF291" i="30276"/>
  <c r="N291" i="30276"/>
  <c r="AA291" i="30276"/>
  <c r="T291" i="30276"/>
  <c r="U291" i="30276"/>
  <c r="K291" i="30276"/>
  <c r="G291" i="30276"/>
  <c r="X291" i="30276"/>
  <c r="L291" i="30276"/>
  <c r="D291" i="30276"/>
  <c r="AG291" i="30276"/>
  <c r="AJ291" i="30276"/>
  <c r="S291" i="30276"/>
  <c r="J291" i="30276"/>
  <c r="R291" i="30276"/>
  <c r="Z291" i="30276"/>
  <c r="B291" i="30276"/>
  <c r="Q291" i="30276"/>
  <c r="Y291" i="30276"/>
  <c r="E291" i="30276"/>
  <c r="AH291" i="30276"/>
  <c r="M291" i="30276"/>
  <c r="AB291" i="30276"/>
  <c r="F291" i="30276"/>
  <c r="AI291" i="30276"/>
  <c r="B347" i="30276"/>
  <c r="DX8" i="30248"/>
  <c r="C19" i="30282" l="1"/>
  <c r="B19" i="30282"/>
  <c r="C18" i="30282"/>
  <c r="B18" i="30282"/>
  <c r="C17" i="30282"/>
  <c r="B17" i="30282"/>
  <c r="C16" i="30282"/>
  <c r="B16" i="30282"/>
  <c r="C15" i="30282"/>
  <c r="B15" i="30282"/>
  <c r="C14" i="30282"/>
  <c r="B14" i="30282"/>
  <c r="C13" i="30282"/>
  <c r="B13" i="30282"/>
  <c r="C12" i="30282"/>
  <c r="B12" i="30282"/>
  <c r="C11" i="30282"/>
  <c r="B11" i="30282"/>
  <c r="C10" i="30282"/>
  <c r="B10" i="30282"/>
  <c r="C9" i="30282"/>
  <c r="B9" i="30282"/>
  <c r="EG213" i="30248"/>
  <c r="EG179" i="30248"/>
  <c r="EG173" i="30248"/>
  <c r="EG98" i="30248"/>
  <c r="EG42" i="30248"/>
  <c r="EG41" i="30248"/>
  <c r="EG61" i="30248"/>
  <c r="EG59" i="30248"/>
  <c r="EG56" i="30248"/>
  <c r="AK270" i="30276" l="1"/>
  <c r="AK272" i="30276" s="1"/>
  <c r="EG85" i="30248"/>
  <c r="EG81" i="30248"/>
  <c r="EG72" i="30248"/>
  <c r="EG73" i="30248"/>
  <c r="EG74" i="30248"/>
  <c r="EG75" i="30248"/>
  <c r="EF177" i="30248"/>
  <c r="EE146" i="30248"/>
  <c r="EE150" i="30248"/>
  <c r="EE151" i="30248"/>
  <c r="EE152" i="30248"/>
  <c r="EE153" i="30248"/>
  <c r="EE154" i="30248"/>
  <c r="EE155" i="30248"/>
  <c r="EE156" i="30248"/>
  <c r="EE149" i="30248"/>
  <c r="A144" i="30276" l="1"/>
  <c r="A145" i="30276"/>
  <c r="A146" i="30276"/>
  <c r="A147" i="30276"/>
  <c r="A148" i="30276"/>
  <c r="A149" i="30276"/>
  <c r="A150" i="30276"/>
  <c r="A151" i="30276"/>
  <c r="A152" i="30276"/>
  <c r="A153" i="30276"/>
  <c r="A154" i="30276"/>
  <c r="A155" i="30276"/>
  <c r="A156" i="30276"/>
  <c r="A157" i="30276"/>
  <c r="A158" i="30276"/>
  <c r="A159" i="30276"/>
  <c r="A160" i="30276"/>
  <c r="A161" i="30276"/>
  <c r="A162" i="30276"/>
  <c r="A163" i="30276"/>
  <c r="A164" i="30276"/>
  <c r="A165" i="30276"/>
  <c r="A166" i="30276"/>
  <c r="A167" i="30276"/>
  <c r="A168" i="30276"/>
  <c r="A169" i="30276"/>
  <c r="A170" i="30276"/>
  <c r="A171" i="30276"/>
  <c r="A172" i="30276"/>
  <c r="A173" i="30276"/>
  <c r="A174" i="30276"/>
  <c r="A175" i="30276"/>
  <c r="A176" i="30276"/>
  <c r="A177" i="30276"/>
  <c r="A178" i="30276"/>
  <c r="A179" i="30276"/>
  <c r="A180" i="30276"/>
  <c r="A181" i="30276"/>
  <c r="A182" i="30276"/>
  <c r="A183" i="30276"/>
  <c r="A184" i="30276"/>
  <c r="A185" i="30276"/>
  <c r="A186" i="30276"/>
  <c r="A187" i="30276"/>
  <c r="A188" i="30276"/>
  <c r="A189" i="30276"/>
  <c r="A190" i="30276"/>
  <c r="A191" i="30276"/>
  <c r="A192" i="30276"/>
  <c r="A193" i="30276"/>
  <c r="A194" i="30276"/>
  <c r="A195" i="30276"/>
  <c r="A196" i="30276"/>
  <c r="A197" i="30276"/>
  <c r="A198" i="30276"/>
  <c r="A199" i="30276"/>
  <c r="A200" i="30276"/>
  <c r="A201" i="30276"/>
  <c r="A202" i="30276"/>
  <c r="A203" i="30276"/>
  <c r="A204" i="30276"/>
  <c r="A205" i="30276"/>
  <c r="A206" i="30276"/>
  <c r="A207" i="30276"/>
  <c r="A208" i="30276"/>
  <c r="A209" i="30276"/>
  <c r="A210" i="30276"/>
  <c r="A211" i="30276"/>
  <c r="A212" i="30276"/>
  <c r="A213" i="30276"/>
  <c r="A214" i="30276"/>
  <c r="A215" i="30276"/>
  <c r="A216" i="30276"/>
  <c r="A217" i="30276"/>
  <c r="CW214" i="30248" l="1"/>
  <c r="CX214" i="30248"/>
  <c r="CY214" i="30248"/>
  <c r="CZ214" i="30248"/>
  <c r="DA214" i="30248"/>
  <c r="DB214" i="30248"/>
  <c r="DC214" i="30248"/>
  <c r="DD214" i="30248"/>
  <c r="DE214" i="30248" s="1"/>
  <c r="DF214" i="30248"/>
  <c r="DG214" i="30248"/>
  <c r="DH214" i="30248"/>
  <c r="DI214" i="30248"/>
  <c r="DJ214" i="30248"/>
  <c r="DK214" i="30248"/>
  <c r="DL214" i="30248"/>
  <c r="DM214" i="30248"/>
  <c r="DN214" i="30248"/>
  <c r="DO214" i="30248"/>
  <c r="DP214" i="30248"/>
  <c r="CW215" i="30248"/>
  <c r="CX215" i="30248"/>
  <c r="CY215" i="30248"/>
  <c r="CZ215" i="30248"/>
  <c r="DA215" i="30248"/>
  <c r="DB215" i="30248"/>
  <c r="DC215" i="30248"/>
  <c r="DD215" i="30248"/>
  <c r="DE215" i="30248" s="1"/>
  <c r="DF215" i="30248"/>
  <c r="DG215" i="30248"/>
  <c r="DH215" i="30248"/>
  <c r="DI215" i="30248"/>
  <c r="DJ215" i="30248"/>
  <c r="DK215" i="30248"/>
  <c r="DL215" i="30248"/>
  <c r="DM215" i="30248"/>
  <c r="DN215" i="30248"/>
  <c r="DO215" i="30248"/>
  <c r="DP215" i="30248"/>
  <c r="CW216" i="30248"/>
  <c r="CX216" i="30248"/>
  <c r="CY216" i="30248"/>
  <c r="CZ216" i="30248"/>
  <c r="DA216" i="30248"/>
  <c r="DB216" i="30248"/>
  <c r="DC216" i="30248"/>
  <c r="DD216" i="30248"/>
  <c r="DE216" i="30248" s="1"/>
  <c r="DF216" i="30248"/>
  <c r="DG216" i="30248"/>
  <c r="DH216" i="30248"/>
  <c r="DI216" i="30248"/>
  <c r="DJ216" i="30248"/>
  <c r="DK216" i="30248"/>
  <c r="DL216" i="30248"/>
  <c r="DM216" i="30248"/>
  <c r="DN216" i="30248"/>
  <c r="DO216" i="30248"/>
  <c r="DP216" i="30248"/>
  <c r="CW217" i="30248"/>
  <c r="CX217" i="30248"/>
  <c r="CY217" i="30248"/>
  <c r="CZ217" i="30248"/>
  <c r="FQ217" i="30248" s="1"/>
  <c r="DA217" i="30248"/>
  <c r="DB217" i="30248"/>
  <c r="DC217" i="30248"/>
  <c r="DD217" i="30248"/>
  <c r="DE217" i="30248" s="1"/>
  <c r="DF217" i="30248"/>
  <c r="DG217" i="30248"/>
  <c r="DH217" i="30248"/>
  <c r="FO217" i="30248" s="1"/>
  <c r="DI217" i="30248"/>
  <c r="DJ217" i="30248"/>
  <c r="DK217" i="30248"/>
  <c r="DL217" i="30248"/>
  <c r="DM217" i="30248"/>
  <c r="DN217" i="30248"/>
  <c r="DO217" i="30248"/>
  <c r="DP217" i="30248"/>
  <c r="FM216" i="30248" l="1"/>
  <c r="FN216" i="30248"/>
  <c r="FP217" i="30248"/>
  <c r="FN217" i="30248"/>
  <c r="FP216" i="30248"/>
  <c r="FM217" i="30248"/>
  <c r="FQ216" i="30248"/>
  <c r="FO216" i="30248"/>
  <c r="G79" i="30248" l="1"/>
  <c r="EB215" i="30248"/>
  <c r="DT215" i="30248"/>
  <c r="DS214" i="30248"/>
  <c r="DS215" i="30248"/>
  <c r="DQ214" i="30248"/>
  <c r="DQ215" i="30248"/>
  <c r="DR215" i="30248"/>
  <c r="FO215" i="30248"/>
  <c r="FP215" i="30248"/>
  <c r="FQ215" i="30248"/>
  <c r="FM215" i="30248" l="1"/>
  <c r="FN215" i="30248"/>
  <c r="EB214" i="30248" l="1"/>
  <c r="DR214" i="30248"/>
  <c r="DT214" i="30248"/>
  <c r="FM214" i="30248"/>
  <c r="FO214" i="30248"/>
  <c r="FP214" i="30248"/>
  <c r="FN214" i="30248"/>
  <c r="FQ214" i="30248"/>
  <c r="EB213" i="30248" l="1"/>
  <c r="DT213" i="30248"/>
  <c r="DS213" i="30248"/>
  <c r="DR213" i="30248"/>
  <c r="DQ213" i="30248"/>
  <c r="DP213" i="30248"/>
  <c r="DO213" i="30248"/>
  <c r="DN213" i="30248"/>
  <c r="DM213" i="30248"/>
  <c r="DL213" i="30248"/>
  <c r="DK213" i="30248"/>
  <c r="DJ213" i="30248"/>
  <c r="DI213" i="30248"/>
  <c r="DH213" i="30248"/>
  <c r="DG213" i="30248"/>
  <c r="DF213" i="30248"/>
  <c r="DD213" i="30248"/>
  <c r="DE213" i="30248" s="1"/>
  <c r="DC213" i="30248"/>
  <c r="DB213" i="30248"/>
  <c r="DA213" i="30248"/>
  <c r="CZ213" i="30248"/>
  <c r="FQ213" i="30248" s="1"/>
  <c r="CY213" i="30248"/>
  <c r="CX213" i="30248"/>
  <c r="CW213" i="30248"/>
  <c r="FM213" i="30248" l="1"/>
  <c r="FP213" i="30248"/>
  <c r="FN213" i="30248"/>
  <c r="FO213" i="30248"/>
  <c r="DR172" i="30248"/>
  <c r="DQ172" i="30248"/>
  <c r="DQ173" i="30248"/>
  <c r="DR173" i="30248"/>
  <c r="DC172" i="30248"/>
  <c r="P346" i="30276" l="1"/>
  <c r="I346" i="30276"/>
  <c r="P345" i="30276"/>
  <c r="I345" i="30276"/>
  <c r="P294" i="30276"/>
  <c r="I294" i="30276"/>
  <c r="P290" i="30276"/>
  <c r="I290" i="30276"/>
  <c r="P289" i="30276"/>
  <c r="I289" i="30276"/>
  <c r="P286" i="30276"/>
  <c r="I286" i="30276"/>
  <c r="P284" i="30276"/>
  <c r="I284" i="30276"/>
  <c r="P283" i="30276"/>
  <c r="I283" i="30276"/>
  <c r="P279" i="30276"/>
  <c r="I279" i="30276"/>
  <c r="P278" i="30276"/>
  <c r="I278" i="30276"/>
  <c r="P277" i="30276"/>
  <c r="I277" i="30276"/>
  <c r="P222" i="30276"/>
  <c r="I222" i="30276"/>
  <c r="P220" i="30276"/>
  <c r="I220" i="30276"/>
  <c r="I347" i="30276" s="1"/>
  <c r="A143" i="30276"/>
  <c r="A142" i="30276"/>
  <c r="A141" i="30276"/>
  <c r="A140" i="30276"/>
  <c r="A139" i="30276"/>
  <c r="A138" i="30276"/>
  <c r="A137" i="30276"/>
  <c r="A136" i="30276"/>
  <c r="A135" i="30276"/>
  <c r="A134" i="30276"/>
  <c r="A133" i="30276"/>
  <c r="A132" i="30276"/>
  <c r="A131" i="30276"/>
  <c r="A130" i="30276"/>
  <c r="A129" i="30276"/>
  <c r="A128" i="30276"/>
  <c r="A127" i="30276"/>
  <c r="A126" i="30276"/>
  <c r="A125" i="30276"/>
  <c r="A124" i="30276"/>
  <c r="A123" i="30276"/>
  <c r="A122" i="30276"/>
  <c r="A121" i="30276"/>
  <c r="A120" i="30276"/>
  <c r="A119" i="30276"/>
  <c r="A118" i="30276"/>
  <c r="A117" i="30276"/>
  <c r="A116" i="30276"/>
  <c r="A115" i="30276"/>
  <c r="A114" i="30276"/>
  <c r="A113" i="30276"/>
  <c r="A112" i="30276"/>
  <c r="A111" i="30276"/>
  <c r="A110" i="30276"/>
  <c r="A109" i="30276"/>
  <c r="A108" i="30276"/>
  <c r="A107" i="30276"/>
  <c r="A106" i="30276"/>
  <c r="A105" i="30276"/>
  <c r="A104" i="30276"/>
  <c r="A103" i="30276"/>
  <c r="A102" i="30276"/>
  <c r="A101" i="30276"/>
  <c r="A100" i="30276"/>
  <c r="A99" i="30276"/>
  <c r="A98" i="30276"/>
  <c r="A97" i="30276"/>
  <c r="A96" i="30276"/>
  <c r="A95" i="30276"/>
  <c r="A94" i="30276"/>
  <c r="A93" i="30276"/>
  <c r="A92" i="30276"/>
  <c r="A91" i="30276"/>
  <c r="A90" i="30276"/>
  <c r="A89" i="30276"/>
  <c r="A88" i="30276"/>
  <c r="A87" i="30276"/>
  <c r="A86" i="30276"/>
  <c r="A85" i="30276"/>
  <c r="A84" i="30276"/>
  <c r="A83" i="30276"/>
  <c r="A82" i="30276"/>
  <c r="A81" i="30276"/>
  <c r="A80" i="30276"/>
  <c r="A79" i="30276"/>
  <c r="A78" i="30276"/>
  <c r="A77" i="30276"/>
  <c r="A76" i="30276"/>
  <c r="A75" i="30276"/>
  <c r="A74" i="30276"/>
  <c r="A73" i="30276"/>
  <c r="A72" i="30276"/>
  <c r="A71" i="30276"/>
  <c r="A70" i="30276"/>
  <c r="A69" i="30276"/>
  <c r="A68" i="30276"/>
  <c r="A67" i="30276"/>
  <c r="A66" i="30276"/>
  <c r="A65" i="30276"/>
  <c r="A64" i="30276"/>
  <c r="A63" i="30276"/>
  <c r="A62" i="30276"/>
  <c r="A61" i="30276"/>
  <c r="A60" i="30276"/>
  <c r="A59" i="30276"/>
  <c r="A58" i="30276"/>
  <c r="A57" i="30276"/>
  <c r="A56" i="30276"/>
  <c r="A55" i="30276"/>
  <c r="A54" i="30276"/>
  <c r="A53" i="30276"/>
  <c r="A52" i="30276"/>
  <c r="A51" i="30276"/>
  <c r="A50" i="30276"/>
  <c r="A49" i="30276"/>
  <c r="A48" i="30276"/>
  <c r="A47" i="30276"/>
  <c r="A46" i="30276"/>
  <c r="A45" i="30276"/>
  <c r="A44" i="30276"/>
  <c r="A43" i="30276"/>
  <c r="A42" i="30276"/>
  <c r="A41" i="30276"/>
  <c r="A40" i="30276"/>
  <c r="A39" i="30276"/>
  <c r="A38" i="30276"/>
  <c r="A37" i="30276"/>
  <c r="A36" i="30276"/>
  <c r="A35" i="30276"/>
  <c r="A34" i="30276"/>
  <c r="A33" i="30276"/>
  <c r="A32" i="30276"/>
  <c r="A31" i="30276"/>
  <c r="A30" i="30276"/>
  <c r="A29" i="30276"/>
  <c r="A28" i="30276"/>
  <c r="A27" i="30276"/>
  <c r="A26" i="30276"/>
  <c r="A25" i="30276"/>
  <c r="A24" i="30276"/>
  <c r="A23" i="30276"/>
  <c r="A22" i="30276"/>
  <c r="A21" i="30276"/>
  <c r="A20" i="30276"/>
  <c r="A19" i="30276"/>
  <c r="A18" i="30276"/>
  <c r="A17" i="30276"/>
  <c r="A16" i="30276"/>
  <c r="A15" i="30276"/>
  <c r="A14" i="30276"/>
  <c r="A13" i="30276"/>
  <c r="A12" i="30276"/>
  <c r="A11" i="30276"/>
  <c r="A10" i="30276"/>
  <c r="A9" i="30276"/>
  <c r="A8" i="30276"/>
  <c r="P291" i="30276" l="1"/>
  <c r="I291" i="30276"/>
  <c r="P347" i="30276"/>
  <c r="DQ208" i="30248"/>
  <c r="DR208" i="30248"/>
  <c r="DS208" i="30248"/>
  <c r="DT208" i="30248"/>
  <c r="DQ209" i="30248"/>
  <c r="DR209" i="30248"/>
  <c r="DS209" i="30248"/>
  <c r="DT209" i="30248"/>
  <c r="DQ210" i="30248"/>
  <c r="DR210" i="30248"/>
  <c r="DS210" i="30248"/>
  <c r="DT210" i="30248"/>
  <c r="DQ211" i="30248"/>
  <c r="DR211" i="30248"/>
  <c r="DS211" i="30248"/>
  <c r="DT211" i="30248"/>
  <c r="DQ212" i="30248"/>
  <c r="DR212" i="30248"/>
  <c r="DS212" i="30248"/>
  <c r="DT212" i="30248"/>
  <c r="EA177" i="30248"/>
  <c r="EB211" i="30248" l="1"/>
  <c r="EB212" i="30248"/>
  <c r="CW211" i="30248"/>
  <c r="CX211" i="30248"/>
  <c r="CY211" i="30248"/>
  <c r="CZ211" i="30248"/>
  <c r="FQ211" i="30248" s="1"/>
  <c r="DA211" i="30248"/>
  <c r="DB211" i="30248"/>
  <c r="DC211" i="30248"/>
  <c r="DD211" i="30248"/>
  <c r="DE211" i="30248" s="1"/>
  <c r="DF211" i="30248"/>
  <c r="DG211" i="30248"/>
  <c r="DH211" i="30248"/>
  <c r="DI211" i="30248"/>
  <c r="DJ211" i="30248"/>
  <c r="DK211" i="30248"/>
  <c r="DL211" i="30248"/>
  <c r="DM211" i="30248"/>
  <c r="DN211" i="30248"/>
  <c r="DO211" i="30248"/>
  <c r="DP211" i="30248"/>
  <c r="CW212" i="30248"/>
  <c r="CX212" i="30248"/>
  <c r="CY212" i="30248"/>
  <c r="CZ212" i="30248"/>
  <c r="FQ212" i="30248" s="1"/>
  <c r="DA212" i="30248"/>
  <c r="DB212" i="30248"/>
  <c r="DC212" i="30248"/>
  <c r="DD212" i="30248"/>
  <c r="DE212" i="30248" s="1"/>
  <c r="DF212" i="30248"/>
  <c r="DG212" i="30248"/>
  <c r="DH212" i="30248"/>
  <c r="DI212" i="30248"/>
  <c r="DJ212" i="30248"/>
  <c r="DK212" i="30248"/>
  <c r="DL212" i="30248"/>
  <c r="DM212" i="30248"/>
  <c r="DN212" i="30248"/>
  <c r="DO212" i="30248"/>
  <c r="DP212" i="30248"/>
  <c r="FO211" i="30248" l="1"/>
  <c r="FM212" i="30248"/>
  <c r="FN212" i="30248"/>
  <c r="FO212" i="30248"/>
  <c r="FP211" i="30248"/>
  <c r="FP212" i="30248"/>
  <c r="FN211" i="30248"/>
  <c r="FM211" i="30248"/>
  <c r="EB208" i="30248"/>
  <c r="EB209" i="30248"/>
  <c r="EB210" i="30248"/>
  <c r="CW209" i="30248"/>
  <c r="CX209" i="30248"/>
  <c r="CY209" i="30248"/>
  <c r="CZ209" i="30248"/>
  <c r="FQ209" i="30248" s="1"/>
  <c r="DA209" i="30248"/>
  <c r="DB209" i="30248"/>
  <c r="DC209" i="30248"/>
  <c r="DD209" i="30248"/>
  <c r="DE209" i="30248" s="1"/>
  <c r="DF209" i="30248"/>
  <c r="DG209" i="30248"/>
  <c r="DH209" i="30248"/>
  <c r="DI209" i="30248"/>
  <c r="DJ209" i="30248"/>
  <c r="DK209" i="30248"/>
  <c r="DL209" i="30248"/>
  <c r="DM209" i="30248"/>
  <c r="DN209" i="30248"/>
  <c r="DO209" i="30248"/>
  <c r="DP209" i="30248"/>
  <c r="CW210" i="30248"/>
  <c r="CX210" i="30248"/>
  <c r="CY210" i="30248"/>
  <c r="CZ210" i="30248"/>
  <c r="FQ210" i="30248" s="1"/>
  <c r="DA210" i="30248"/>
  <c r="DB210" i="30248"/>
  <c r="DC210" i="30248"/>
  <c r="DD210" i="30248"/>
  <c r="DE210" i="30248" s="1"/>
  <c r="DF210" i="30248"/>
  <c r="DG210" i="30248"/>
  <c r="DH210" i="30248"/>
  <c r="DI210" i="30248"/>
  <c r="DJ210" i="30248"/>
  <c r="DK210" i="30248"/>
  <c r="DL210" i="30248"/>
  <c r="DM210" i="30248"/>
  <c r="DN210" i="30248"/>
  <c r="DO210" i="30248"/>
  <c r="DP210" i="30248"/>
  <c r="FN210" i="30248" l="1"/>
  <c r="FN209" i="30248"/>
  <c r="FP209" i="30248"/>
  <c r="FM209" i="30248"/>
  <c r="FO209" i="30248"/>
  <c r="FO210" i="30248"/>
  <c r="FM210" i="30248"/>
  <c r="FP210" i="30248"/>
  <c r="AS208" i="30248"/>
  <c r="BQ208" i="30248"/>
  <c r="BP208" i="30248"/>
  <c r="BO208" i="30248"/>
  <c r="BN208" i="30248"/>
  <c r="BM208" i="30248"/>
  <c r="BL208" i="30248"/>
  <c r="BK208" i="30248"/>
  <c r="BJ208" i="30248"/>
  <c r="BI208" i="30248"/>
  <c r="BH208" i="30248"/>
  <c r="BG208" i="30248"/>
  <c r="BF208" i="30248"/>
  <c r="BE208" i="30248"/>
  <c r="BD208" i="30248"/>
  <c r="BC208" i="30248"/>
  <c r="BB208" i="30248"/>
  <c r="BA208" i="30248"/>
  <c r="AZ208" i="30248"/>
  <c r="AY208" i="30248"/>
  <c r="AW208" i="30248"/>
  <c r="AV208" i="30248"/>
  <c r="AU208" i="30248"/>
  <c r="AT208" i="30248"/>
  <c r="AR208" i="30248"/>
  <c r="AQ208" i="30248"/>
  <c r="AP208" i="30248"/>
  <c r="AO208" i="30248"/>
  <c r="AN208" i="30248"/>
  <c r="AM208" i="30248"/>
  <c r="AL208" i="30248"/>
  <c r="AK208" i="30248"/>
  <c r="AJ208" i="30248"/>
  <c r="AI208" i="30248"/>
  <c r="AH208" i="30248"/>
  <c r="AG208" i="30248"/>
  <c r="AF208" i="30248"/>
  <c r="CX208" i="30248" l="1"/>
  <c r="DH208" i="30248"/>
  <c r="DN208" i="30248"/>
  <c r="CZ208" i="30248"/>
  <c r="FQ208" i="30248" s="1"/>
  <c r="DA208" i="30248"/>
  <c r="DK208" i="30248"/>
  <c r="CY208" i="30248"/>
  <c r="DI208" i="30248"/>
  <c r="DJ208" i="30248"/>
  <c r="DC208" i="30248"/>
  <c r="DF208" i="30248"/>
  <c r="DO208" i="30248"/>
  <c r="CW208" i="30248"/>
  <c r="DG208" i="30248"/>
  <c r="DP208" i="30248"/>
  <c r="DD208" i="30248"/>
  <c r="DE208" i="30248" s="1"/>
  <c r="DM208" i="30248"/>
  <c r="DB208" i="30248"/>
  <c r="DL208" i="30248"/>
  <c r="AW207" i="30248"/>
  <c r="AY207" i="30248"/>
  <c r="AZ207" i="30248"/>
  <c r="BA207" i="30248"/>
  <c r="BB207" i="30248"/>
  <c r="BC207" i="30248"/>
  <c r="BD207" i="30248"/>
  <c r="BE207" i="30248"/>
  <c r="BF207" i="30248"/>
  <c r="BG207" i="30248"/>
  <c r="BH207" i="30248"/>
  <c r="BI207" i="30248"/>
  <c r="BJ207" i="30248"/>
  <c r="BK207" i="30248"/>
  <c r="BL207" i="30248"/>
  <c r="BM207" i="30248"/>
  <c r="BN207" i="30248"/>
  <c r="BO207" i="30248"/>
  <c r="BP207" i="30248"/>
  <c r="BQ207" i="30248"/>
  <c r="AG207" i="30248"/>
  <c r="AH207" i="30248"/>
  <c r="AI207" i="30248"/>
  <c r="AJ207" i="30248"/>
  <c r="AK207" i="30248"/>
  <c r="AL207" i="30248"/>
  <c r="AM207" i="30248"/>
  <c r="AN207" i="30248"/>
  <c r="AO207" i="30248"/>
  <c r="AP207" i="30248"/>
  <c r="AQ207" i="30248"/>
  <c r="AR207" i="30248"/>
  <c r="AS207" i="30248"/>
  <c r="AT207" i="30248"/>
  <c r="AU207" i="30248"/>
  <c r="AV207" i="30248"/>
  <c r="AF207" i="30248"/>
  <c r="EB199" i="30248"/>
  <c r="EB200" i="30248"/>
  <c r="EB201" i="30248"/>
  <c r="EB202" i="30248"/>
  <c r="EB203" i="30248"/>
  <c r="EB204" i="30248"/>
  <c r="EB205" i="30248"/>
  <c r="EB206" i="30248"/>
  <c r="EB207" i="30248"/>
  <c r="DQ185" i="30248"/>
  <c r="DR185" i="30248"/>
  <c r="DS185" i="30248"/>
  <c r="DT185" i="30248"/>
  <c r="DQ186" i="30248"/>
  <c r="DR186" i="30248"/>
  <c r="DS186" i="30248"/>
  <c r="DT186" i="30248"/>
  <c r="DQ187" i="30248"/>
  <c r="DR187" i="30248"/>
  <c r="DS187" i="30248"/>
  <c r="DT187" i="30248"/>
  <c r="DQ188" i="30248"/>
  <c r="DR188" i="30248"/>
  <c r="DS188" i="30248"/>
  <c r="DT188" i="30248"/>
  <c r="DQ189" i="30248"/>
  <c r="DR189" i="30248"/>
  <c r="DS189" i="30248"/>
  <c r="DT189" i="30248"/>
  <c r="DQ190" i="30248"/>
  <c r="DR190" i="30248"/>
  <c r="DS190" i="30248"/>
  <c r="DT190" i="30248"/>
  <c r="DQ191" i="30248"/>
  <c r="DR191" i="30248"/>
  <c r="DS191" i="30248"/>
  <c r="DT191" i="30248"/>
  <c r="DQ192" i="30248"/>
  <c r="DR192" i="30248"/>
  <c r="DS192" i="30248"/>
  <c r="DT192" i="30248"/>
  <c r="DQ193" i="30248"/>
  <c r="DR193" i="30248"/>
  <c r="DS193" i="30248"/>
  <c r="DT193" i="30248"/>
  <c r="DQ194" i="30248"/>
  <c r="DR194" i="30248"/>
  <c r="DS194" i="30248"/>
  <c r="DT194" i="30248"/>
  <c r="DQ195" i="30248"/>
  <c r="DR195" i="30248"/>
  <c r="DS195" i="30248"/>
  <c r="DT195" i="30248"/>
  <c r="DQ196" i="30248"/>
  <c r="DR196" i="30248"/>
  <c r="DS196" i="30248"/>
  <c r="DT196" i="30248"/>
  <c r="DQ197" i="30248"/>
  <c r="DR197" i="30248"/>
  <c r="DS197" i="30248"/>
  <c r="DT197" i="30248"/>
  <c r="DQ198" i="30248"/>
  <c r="DR198" i="30248"/>
  <c r="DS198" i="30248"/>
  <c r="DT198" i="30248"/>
  <c r="DQ199" i="30248"/>
  <c r="DR199" i="30248"/>
  <c r="DS199" i="30248"/>
  <c r="DT199" i="30248"/>
  <c r="DQ200" i="30248"/>
  <c r="DR200" i="30248"/>
  <c r="DS200" i="30248"/>
  <c r="DT200" i="30248"/>
  <c r="DQ201" i="30248"/>
  <c r="DR201" i="30248"/>
  <c r="DS201" i="30248"/>
  <c r="DT201" i="30248"/>
  <c r="DQ202" i="30248"/>
  <c r="DR202" i="30248"/>
  <c r="DS202" i="30248"/>
  <c r="DT202" i="30248"/>
  <c r="DQ203" i="30248"/>
  <c r="DR203" i="30248"/>
  <c r="DS203" i="30248"/>
  <c r="DT203" i="30248"/>
  <c r="DQ204" i="30248"/>
  <c r="DR204" i="30248"/>
  <c r="DS204" i="30248"/>
  <c r="DT204" i="30248"/>
  <c r="DQ205" i="30248"/>
  <c r="DR205" i="30248"/>
  <c r="DS205" i="30248"/>
  <c r="DT205" i="30248"/>
  <c r="DQ206" i="30248"/>
  <c r="DR206" i="30248"/>
  <c r="DS206" i="30248"/>
  <c r="DT206" i="30248"/>
  <c r="DQ207" i="30248"/>
  <c r="DR207" i="30248"/>
  <c r="DS207" i="30248"/>
  <c r="DT207" i="30248"/>
  <c r="CW199" i="30248"/>
  <c r="CX199" i="30248"/>
  <c r="CY199" i="30248"/>
  <c r="CZ199" i="30248"/>
  <c r="DA199" i="30248"/>
  <c r="DB199" i="30248"/>
  <c r="DC199" i="30248"/>
  <c r="DD199" i="30248"/>
  <c r="DE199" i="30248" s="1"/>
  <c r="DF199" i="30248"/>
  <c r="DG199" i="30248"/>
  <c r="DH199" i="30248"/>
  <c r="DI199" i="30248"/>
  <c r="DJ199" i="30248"/>
  <c r="DK199" i="30248"/>
  <c r="DL199" i="30248"/>
  <c r="DM199" i="30248"/>
  <c r="DN199" i="30248"/>
  <c r="DO199" i="30248"/>
  <c r="DP199" i="30248"/>
  <c r="CW200" i="30248"/>
  <c r="CX200" i="30248"/>
  <c r="CY200" i="30248"/>
  <c r="CZ200" i="30248"/>
  <c r="DA200" i="30248"/>
  <c r="DB200" i="30248"/>
  <c r="DC200" i="30248"/>
  <c r="DD200" i="30248"/>
  <c r="DE200" i="30248" s="1"/>
  <c r="DF200" i="30248"/>
  <c r="DG200" i="30248"/>
  <c r="DH200" i="30248"/>
  <c r="DI200" i="30248"/>
  <c r="DJ200" i="30248"/>
  <c r="DK200" i="30248"/>
  <c r="DL200" i="30248"/>
  <c r="DM200" i="30248"/>
  <c r="DN200" i="30248"/>
  <c r="DO200" i="30248"/>
  <c r="DP200" i="30248"/>
  <c r="CW201" i="30248"/>
  <c r="CX201" i="30248"/>
  <c r="CY201" i="30248"/>
  <c r="CZ201" i="30248"/>
  <c r="FQ201" i="30248" s="1"/>
  <c r="DA201" i="30248"/>
  <c r="DB201" i="30248"/>
  <c r="DC201" i="30248"/>
  <c r="DD201" i="30248"/>
  <c r="DE201" i="30248" s="1"/>
  <c r="DF201" i="30248"/>
  <c r="DG201" i="30248"/>
  <c r="DH201" i="30248"/>
  <c r="FO201" i="30248" s="1"/>
  <c r="DI201" i="30248"/>
  <c r="DJ201" i="30248"/>
  <c r="DK201" i="30248"/>
  <c r="DL201" i="30248"/>
  <c r="DM201" i="30248"/>
  <c r="DN201" i="30248"/>
  <c r="DO201" i="30248"/>
  <c r="DP201" i="30248"/>
  <c r="CW202" i="30248"/>
  <c r="CX202" i="30248"/>
  <c r="CY202" i="30248"/>
  <c r="CZ202" i="30248"/>
  <c r="FQ202" i="30248" s="1"/>
  <c r="DA202" i="30248"/>
  <c r="DB202" i="30248"/>
  <c r="DC202" i="30248"/>
  <c r="DD202" i="30248"/>
  <c r="DE202" i="30248" s="1"/>
  <c r="DF202" i="30248"/>
  <c r="DG202" i="30248"/>
  <c r="DH202" i="30248"/>
  <c r="DI202" i="30248"/>
  <c r="DJ202" i="30248"/>
  <c r="DK202" i="30248"/>
  <c r="DL202" i="30248"/>
  <c r="DM202" i="30248"/>
  <c r="DN202" i="30248"/>
  <c r="DO202" i="30248"/>
  <c r="DP202" i="30248"/>
  <c r="CW203" i="30248"/>
  <c r="CX203" i="30248"/>
  <c r="CY203" i="30248"/>
  <c r="CZ203" i="30248"/>
  <c r="FQ203" i="30248" s="1"/>
  <c r="DA203" i="30248"/>
  <c r="DB203" i="30248"/>
  <c r="DC203" i="30248"/>
  <c r="DD203" i="30248"/>
  <c r="DE203" i="30248" s="1"/>
  <c r="DF203" i="30248"/>
  <c r="DG203" i="30248"/>
  <c r="DH203" i="30248"/>
  <c r="DI203" i="30248"/>
  <c r="DJ203" i="30248"/>
  <c r="DK203" i="30248"/>
  <c r="DL203" i="30248"/>
  <c r="DM203" i="30248"/>
  <c r="DN203" i="30248"/>
  <c r="DO203" i="30248"/>
  <c r="DP203" i="30248"/>
  <c r="CW204" i="30248"/>
  <c r="CX204" i="30248"/>
  <c r="CY204" i="30248"/>
  <c r="CZ204" i="30248"/>
  <c r="DA204" i="30248"/>
  <c r="DB204" i="30248"/>
  <c r="DC204" i="30248"/>
  <c r="DD204" i="30248"/>
  <c r="DE204" i="30248" s="1"/>
  <c r="DF204" i="30248"/>
  <c r="DG204" i="30248"/>
  <c r="DH204" i="30248"/>
  <c r="FO204" i="30248" s="1"/>
  <c r="DI204" i="30248"/>
  <c r="DJ204" i="30248"/>
  <c r="DK204" i="30248"/>
  <c r="DL204" i="30248"/>
  <c r="DM204" i="30248"/>
  <c r="DN204" i="30248"/>
  <c r="DO204" i="30248"/>
  <c r="DP204" i="30248"/>
  <c r="CW205" i="30248"/>
  <c r="CX205" i="30248"/>
  <c r="CY205" i="30248"/>
  <c r="CZ205" i="30248"/>
  <c r="DA205" i="30248"/>
  <c r="DB205" i="30248"/>
  <c r="DC205" i="30248"/>
  <c r="DD205" i="30248"/>
  <c r="DE205" i="30248" s="1"/>
  <c r="DF205" i="30248"/>
  <c r="DG205" i="30248"/>
  <c r="DH205" i="30248"/>
  <c r="DI205" i="30248"/>
  <c r="DJ205" i="30248"/>
  <c r="DK205" i="30248"/>
  <c r="DL205" i="30248"/>
  <c r="DM205" i="30248"/>
  <c r="DN205" i="30248"/>
  <c r="DO205" i="30248"/>
  <c r="DP205" i="30248"/>
  <c r="CW206" i="30248"/>
  <c r="CX206" i="30248"/>
  <c r="CY206" i="30248"/>
  <c r="CZ206" i="30248"/>
  <c r="DA206" i="30248"/>
  <c r="DB206" i="30248"/>
  <c r="DC206" i="30248"/>
  <c r="DD206" i="30248"/>
  <c r="DE206" i="30248" s="1"/>
  <c r="DF206" i="30248"/>
  <c r="DG206" i="30248"/>
  <c r="DH206" i="30248"/>
  <c r="DI206" i="30248"/>
  <c r="DJ206" i="30248"/>
  <c r="DK206" i="30248"/>
  <c r="DL206" i="30248"/>
  <c r="DM206" i="30248"/>
  <c r="DN206" i="30248"/>
  <c r="DO206" i="30248"/>
  <c r="DP206" i="30248"/>
  <c r="EB178" i="30248"/>
  <c r="EB198" i="30248"/>
  <c r="EB191" i="30248"/>
  <c r="EB192" i="30248"/>
  <c r="EB193" i="30248"/>
  <c r="EB194" i="30248"/>
  <c r="EB195" i="30248"/>
  <c r="EB196" i="30248"/>
  <c r="EB197" i="30248"/>
  <c r="DH172" i="30248"/>
  <c r="DI172" i="30248"/>
  <c r="DJ172" i="30248"/>
  <c r="DK172" i="30248"/>
  <c r="DL172" i="30248"/>
  <c r="DM172" i="30248"/>
  <c r="DN172" i="30248"/>
  <c r="DO172" i="30248"/>
  <c r="DP172" i="30248"/>
  <c r="DH173" i="30248"/>
  <c r="DI173" i="30248"/>
  <c r="DJ173" i="30248"/>
  <c r="DK173" i="30248"/>
  <c r="DL173" i="30248"/>
  <c r="DM173" i="30248"/>
  <c r="DN173" i="30248"/>
  <c r="DO173" i="30248"/>
  <c r="DP173" i="30248"/>
  <c r="DH174" i="30248"/>
  <c r="DI174" i="30248"/>
  <c r="DJ174" i="30248"/>
  <c r="DK174" i="30248"/>
  <c r="DL174" i="30248"/>
  <c r="DM174" i="30248"/>
  <c r="DN174" i="30248"/>
  <c r="DO174" i="30248"/>
  <c r="DP174" i="30248"/>
  <c r="DH175" i="30248"/>
  <c r="DI175" i="30248"/>
  <c r="DJ175" i="30248"/>
  <c r="DK175" i="30248"/>
  <c r="DL175" i="30248"/>
  <c r="DM175" i="30248"/>
  <c r="DN175" i="30248"/>
  <c r="DO175" i="30248"/>
  <c r="DP175" i="30248"/>
  <c r="DI176" i="30248"/>
  <c r="DJ176" i="30248"/>
  <c r="DL176" i="30248"/>
  <c r="DM176" i="30248"/>
  <c r="DN176" i="30248"/>
  <c r="DO176" i="30248"/>
  <c r="DH178" i="30248"/>
  <c r="DI178" i="30248"/>
  <c r="DJ178" i="30248"/>
  <c r="DK178" i="30248"/>
  <c r="DL178" i="30248"/>
  <c r="DM178" i="30248"/>
  <c r="DN178" i="30248"/>
  <c r="DO178" i="30248"/>
  <c r="DP178" i="30248"/>
  <c r="DH179" i="30248"/>
  <c r="DI179" i="30248"/>
  <c r="DJ179" i="30248"/>
  <c r="DK179" i="30248"/>
  <c r="DL179" i="30248"/>
  <c r="DM179" i="30248"/>
  <c r="DN179" i="30248"/>
  <c r="DO179" i="30248"/>
  <c r="DP179" i="30248"/>
  <c r="DH180" i="30248"/>
  <c r="DI180" i="30248"/>
  <c r="DJ180" i="30248"/>
  <c r="DK180" i="30248"/>
  <c r="DL180" i="30248"/>
  <c r="DM180" i="30248"/>
  <c r="DN180" i="30248"/>
  <c r="DO180" i="30248"/>
  <c r="DP180" i="30248"/>
  <c r="DH181" i="30248"/>
  <c r="DI181" i="30248"/>
  <c r="DJ181" i="30248"/>
  <c r="DK181" i="30248"/>
  <c r="DL181" i="30248"/>
  <c r="DM181" i="30248"/>
  <c r="DN181" i="30248"/>
  <c r="DO181" i="30248"/>
  <c r="DP181" i="30248"/>
  <c r="DH182" i="30248"/>
  <c r="DI182" i="30248"/>
  <c r="DJ182" i="30248"/>
  <c r="DK182" i="30248"/>
  <c r="DL182" i="30248"/>
  <c r="DM182" i="30248"/>
  <c r="DN182" i="30248"/>
  <c r="DO182" i="30248"/>
  <c r="DP182" i="30248"/>
  <c r="DH183" i="30248"/>
  <c r="DI183" i="30248"/>
  <c r="DJ183" i="30248"/>
  <c r="DK183" i="30248"/>
  <c r="DL183" i="30248"/>
  <c r="DM183" i="30248"/>
  <c r="DN183" i="30248"/>
  <c r="DO183" i="30248"/>
  <c r="DP183" i="30248"/>
  <c r="DH184" i="30248"/>
  <c r="DI184" i="30248"/>
  <c r="DJ184" i="30248"/>
  <c r="DK184" i="30248"/>
  <c r="DL184" i="30248"/>
  <c r="DM184" i="30248"/>
  <c r="DN184" i="30248"/>
  <c r="DO184" i="30248"/>
  <c r="DP184" i="30248"/>
  <c r="DH185" i="30248"/>
  <c r="DI185" i="30248"/>
  <c r="DJ185" i="30248"/>
  <c r="DK185" i="30248"/>
  <c r="DL185" i="30248"/>
  <c r="DM185" i="30248"/>
  <c r="DN185" i="30248"/>
  <c r="DO185" i="30248"/>
  <c r="DP185" i="30248"/>
  <c r="DH186" i="30248"/>
  <c r="DI186" i="30248"/>
  <c r="DJ186" i="30248"/>
  <c r="DK186" i="30248"/>
  <c r="DL186" i="30248"/>
  <c r="DM186" i="30248"/>
  <c r="DN186" i="30248"/>
  <c r="DO186" i="30248"/>
  <c r="DP186" i="30248"/>
  <c r="DH187" i="30248"/>
  <c r="DI187" i="30248"/>
  <c r="DJ187" i="30248"/>
  <c r="DK187" i="30248"/>
  <c r="DL187" i="30248"/>
  <c r="DM187" i="30248"/>
  <c r="DN187" i="30248"/>
  <c r="DO187" i="30248"/>
  <c r="DP187" i="30248"/>
  <c r="DH188" i="30248"/>
  <c r="DI188" i="30248"/>
  <c r="DJ188" i="30248"/>
  <c r="DK188" i="30248"/>
  <c r="DL188" i="30248"/>
  <c r="DM188" i="30248"/>
  <c r="DN188" i="30248"/>
  <c r="DO188" i="30248"/>
  <c r="DP188" i="30248"/>
  <c r="DH189" i="30248"/>
  <c r="DI189" i="30248"/>
  <c r="DJ189" i="30248"/>
  <c r="DK189" i="30248"/>
  <c r="DL189" i="30248"/>
  <c r="DM189" i="30248"/>
  <c r="DN189" i="30248"/>
  <c r="DO189" i="30248"/>
  <c r="DP189" i="30248"/>
  <c r="DH190" i="30248"/>
  <c r="DI190" i="30248"/>
  <c r="DJ190" i="30248"/>
  <c r="DK190" i="30248"/>
  <c r="DL190" i="30248"/>
  <c r="DM190" i="30248"/>
  <c r="DN190" i="30248"/>
  <c r="DO190" i="30248"/>
  <c r="DP190" i="30248"/>
  <c r="DH191" i="30248"/>
  <c r="DI191" i="30248"/>
  <c r="DJ191" i="30248"/>
  <c r="DK191" i="30248"/>
  <c r="DL191" i="30248"/>
  <c r="DM191" i="30248"/>
  <c r="DN191" i="30248"/>
  <c r="DO191" i="30248"/>
  <c r="DP191" i="30248"/>
  <c r="DH192" i="30248"/>
  <c r="DI192" i="30248"/>
  <c r="DJ192" i="30248"/>
  <c r="DK192" i="30248"/>
  <c r="DL192" i="30248"/>
  <c r="DM192" i="30248"/>
  <c r="DN192" i="30248"/>
  <c r="DO192" i="30248"/>
  <c r="DP192" i="30248"/>
  <c r="DH193" i="30248"/>
  <c r="DI193" i="30248"/>
  <c r="DJ193" i="30248"/>
  <c r="DK193" i="30248"/>
  <c r="DL193" i="30248"/>
  <c r="DM193" i="30248"/>
  <c r="DN193" i="30248"/>
  <c r="DO193" i="30248"/>
  <c r="DP193" i="30248"/>
  <c r="DH194" i="30248"/>
  <c r="DI194" i="30248"/>
  <c r="DJ194" i="30248"/>
  <c r="DK194" i="30248"/>
  <c r="DL194" i="30248"/>
  <c r="DM194" i="30248"/>
  <c r="DN194" i="30248"/>
  <c r="DO194" i="30248"/>
  <c r="DP194" i="30248"/>
  <c r="DH195" i="30248"/>
  <c r="DI195" i="30248"/>
  <c r="DJ195" i="30248"/>
  <c r="DK195" i="30248"/>
  <c r="DL195" i="30248"/>
  <c r="DM195" i="30248"/>
  <c r="DN195" i="30248"/>
  <c r="DO195" i="30248"/>
  <c r="DP195" i="30248"/>
  <c r="DH196" i="30248"/>
  <c r="DI196" i="30248"/>
  <c r="DJ196" i="30248"/>
  <c r="DK196" i="30248"/>
  <c r="DL196" i="30248"/>
  <c r="DM196" i="30248"/>
  <c r="DN196" i="30248"/>
  <c r="DO196" i="30248"/>
  <c r="DP196" i="30248"/>
  <c r="DH197" i="30248"/>
  <c r="DI197" i="30248"/>
  <c r="DJ197" i="30248"/>
  <c r="DK197" i="30248"/>
  <c r="DL197" i="30248"/>
  <c r="DM197" i="30248"/>
  <c r="DN197" i="30248"/>
  <c r="DO197" i="30248"/>
  <c r="DP197" i="30248"/>
  <c r="DH198" i="30248"/>
  <c r="DI198" i="30248"/>
  <c r="DJ198" i="30248"/>
  <c r="DK198" i="30248"/>
  <c r="DL198" i="30248"/>
  <c r="DM198" i="30248"/>
  <c r="DN198" i="30248"/>
  <c r="DO198" i="30248"/>
  <c r="DP198" i="30248"/>
  <c r="CW197" i="30248"/>
  <c r="CX197" i="30248"/>
  <c r="CY197" i="30248"/>
  <c r="CZ197" i="30248"/>
  <c r="FQ197" i="30248" s="1"/>
  <c r="DA197" i="30248"/>
  <c r="DB197" i="30248"/>
  <c r="DC197" i="30248"/>
  <c r="DD197" i="30248"/>
  <c r="DE197" i="30248" s="1"/>
  <c r="DF197" i="30248"/>
  <c r="DG197" i="30248"/>
  <c r="CW198" i="30248"/>
  <c r="CX198" i="30248"/>
  <c r="CY198" i="30248"/>
  <c r="CZ198" i="30248"/>
  <c r="FQ198" i="30248" s="1"/>
  <c r="DA198" i="30248"/>
  <c r="DB198" i="30248"/>
  <c r="DC198" i="30248"/>
  <c r="DD198" i="30248"/>
  <c r="DE198" i="30248" s="1"/>
  <c r="DF198" i="30248"/>
  <c r="DG198" i="30248"/>
  <c r="FP208" i="30248" l="1"/>
  <c r="FM202" i="30248"/>
  <c r="FN208" i="30248"/>
  <c r="DP207" i="30248"/>
  <c r="FM208" i="30248"/>
  <c r="DJ207" i="30248"/>
  <c r="FO208" i="30248"/>
  <c r="CY207" i="30248"/>
  <c r="FM206" i="30248"/>
  <c r="DN207" i="30248"/>
  <c r="CW207" i="30248"/>
  <c r="DL207" i="30248"/>
  <c r="DB207" i="30248"/>
  <c r="FP198" i="30248"/>
  <c r="DH207" i="30248"/>
  <c r="FM203" i="30248"/>
  <c r="FM200" i="30248"/>
  <c r="FM198" i="30248"/>
  <c r="CZ207" i="30248"/>
  <c r="FQ207" i="30248" s="1"/>
  <c r="DK207" i="30248"/>
  <c r="DA207" i="30248"/>
  <c r="FP204" i="30248"/>
  <c r="DO207" i="30248"/>
  <c r="DG207" i="30248"/>
  <c r="CX207" i="30248"/>
  <c r="FM197" i="30248"/>
  <c r="FP203" i="30248"/>
  <c r="FN200" i="30248"/>
  <c r="FN198" i="30248"/>
  <c r="DM207" i="30248"/>
  <c r="DD207" i="30248"/>
  <c r="DE207" i="30248" s="1"/>
  <c r="FM204" i="30248"/>
  <c r="FN202" i="30248"/>
  <c r="FM199" i="30248"/>
  <c r="FN197" i="30248"/>
  <c r="FP197" i="30248"/>
  <c r="DI207" i="30248"/>
  <c r="DF207" i="30248"/>
  <c r="DC207" i="30248"/>
  <c r="FN206" i="30248"/>
  <c r="FO198" i="30248"/>
  <c r="FN204" i="30248"/>
  <c r="FN199" i="30248"/>
  <c r="FP206" i="30248"/>
  <c r="FN201" i="30248"/>
  <c r="FQ204" i="30248"/>
  <c r="FO200" i="30248"/>
  <c r="FO203" i="30248"/>
  <c r="FP199" i="30248"/>
  <c r="FO197" i="30248"/>
  <c r="FP202" i="30248"/>
  <c r="FP201" i="30248"/>
  <c r="FQ199" i="30248"/>
  <c r="FQ206" i="30248"/>
  <c r="FM201" i="30248"/>
  <c r="FO199" i="30248"/>
  <c r="FO205" i="30248"/>
  <c r="FO202" i="30248"/>
  <c r="FQ200" i="30248"/>
  <c r="FO206" i="30248"/>
  <c r="FP200" i="30248"/>
  <c r="FN203" i="30248"/>
  <c r="FM205" i="30248"/>
  <c r="FN205" i="30248"/>
  <c r="FQ205" i="30248"/>
  <c r="FP205" i="30248"/>
  <c r="FN207" i="30248" l="1"/>
  <c r="FP207" i="30248"/>
  <c r="FO207" i="30248"/>
  <c r="FM207" i="30248"/>
  <c r="CW191" i="30248" l="1"/>
  <c r="CX191" i="30248"/>
  <c r="CY191" i="30248"/>
  <c r="CZ191" i="30248"/>
  <c r="DA191" i="30248"/>
  <c r="DB191" i="30248"/>
  <c r="DC191" i="30248"/>
  <c r="DD191" i="30248"/>
  <c r="DE191" i="30248" s="1"/>
  <c r="DF191" i="30248"/>
  <c r="DG191" i="30248"/>
  <c r="CW192" i="30248"/>
  <c r="CX192" i="30248"/>
  <c r="CY192" i="30248"/>
  <c r="CZ192" i="30248"/>
  <c r="DA192" i="30248"/>
  <c r="DB192" i="30248"/>
  <c r="DC192" i="30248"/>
  <c r="DD192" i="30248"/>
  <c r="DE192" i="30248" s="1"/>
  <c r="DF192" i="30248"/>
  <c r="DG192" i="30248"/>
  <c r="CW193" i="30248"/>
  <c r="CX193" i="30248"/>
  <c r="CY193" i="30248"/>
  <c r="CZ193" i="30248"/>
  <c r="DA193" i="30248"/>
  <c r="DB193" i="30248"/>
  <c r="DC193" i="30248"/>
  <c r="DD193" i="30248"/>
  <c r="DE193" i="30248" s="1"/>
  <c r="DF193" i="30248"/>
  <c r="DG193" i="30248"/>
  <c r="CW194" i="30248"/>
  <c r="CX194" i="30248"/>
  <c r="CY194" i="30248"/>
  <c r="CZ194" i="30248"/>
  <c r="DA194" i="30248"/>
  <c r="DB194" i="30248"/>
  <c r="DC194" i="30248"/>
  <c r="DD194" i="30248"/>
  <c r="DE194" i="30248" s="1"/>
  <c r="DF194" i="30248"/>
  <c r="DG194" i="30248"/>
  <c r="CW195" i="30248"/>
  <c r="CX195" i="30248"/>
  <c r="CY195" i="30248"/>
  <c r="CZ195" i="30248"/>
  <c r="DA195" i="30248"/>
  <c r="DB195" i="30248"/>
  <c r="DC195" i="30248"/>
  <c r="DD195" i="30248"/>
  <c r="DE195" i="30248" s="1"/>
  <c r="DF195" i="30248"/>
  <c r="DG195" i="30248"/>
  <c r="CW196" i="30248"/>
  <c r="CX196" i="30248"/>
  <c r="CY196" i="30248"/>
  <c r="CZ196" i="30248"/>
  <c r="DA196" i="30248"/>
  <c r="DB196" i="30248"/>
  <c r="DC196" i="30248"/>
  <c r="DD196" i="30248"/>
  <c r="DE196" i="30248" s="1"/>
  <c r="DF196" i="30248"/>
  <c r="DG196" i="30248"/>
  <c r="EB179" i="30248"/>
  <c r="EB180" i="30248"/>
  <c r="EB181" i="30248"/>
  <c r="EB182" i="30248"/>
  <c r="EB183" i="30248"/>
  <c r="EB184" i="30248"/>
  <c r="EB186" i="30248"/>
  <c r="EB187" i="30248"/>
  <c r="EB188" i="30248"/>
  <c r="EB189" i="30248"/>
  <c r="EB190" i="30248"/>
  <c r="CW188" i="30248"/>
  <c r="CX188" i="30248"/>
  <c r="CY188" i="30248"/>
  <c r="CZ188" i="30248"/>
  <c r="FQ188" i="30248" s="1"/>
  <c r="DA188" i="30248"/>
  <c r="DB188" i="30248"/>
  <c r="DC188" i="30248"/>
  <c r="DD188" i="30248"/>
  <c r="DE188" i="30248" s="1"/>
  <c r="DF188" i="30248"/>
  <c r="DG188" i="30248"/>
  <c r="CW189" i="30248"/>
  <c r="CX189" i="30248"/>
  <c r="CY189" i="30248"/>
  <c r="CZ189" i="30248"/>
  <c r="FM189" i="30248" s="1"/>
  <c r="DA189" i="30248"/>
  <c r="DB189" i="30248"/>
  <c r="DC189" i="30248"/>
  <c r="DD189" i="30248"/>
  <c r="DE189" i="30248" s="1"/>
  <c r="DF189" i="30248"/>
  <c r="DG189" i="30248"/>
  <c r="CW190" i="30248"/>
  <c r="CX190" i="30248"/>
  <c r="CY190" i="30248"/>
  <c r="CZ190" i="30248"/>
  <c r="FQ190" i="30248" s="1"/>
  <c r="DA190" i="30248"/>
  <c r="DB190" i="30248"/>
  <c r="DC190" i="30248"/>
  <c r="DD190" i="30248"/>
  <c r="DE190" i="30248" s="1"/>
  <c r="DF190" i="30248"/>
  <c r="DG190" i="30248"/>
  <c r="FP188" i="30248" l="1"/>
  <c r="FP191" i="30248"/>
  <c r="FP193" i="30248"/>
  <c r="FP189" i="30248"/>
  <c r="FN190" i="30248"/>
  <c r="FP190" i="30248"/>
  <c r="FN189" i="30248"/>
  <c r="FN188" i="30248"/>
  <c r="FP196" i="30248"/>
  <c r="FP192" i="30248"/>
  <c r="FP195" i="30248"/>
  <c r="FP194" i="30248"/>
  <c r="FM190" i="30248"/>
  <c r="FO188" i="30248"/>
  <c r="FO196" i="30248"/>
  <c r="FN196" i="30248"/>
  <c r="FQ189" i="30248"/>
  <c r="FM195" i="30248"/>
  <c r="FQ195" i="30248"/>
  <c r="FQ192" i="30248"/>
  <c r="FM192" i="30248"/>
  <c r="FM188" i="30248"/>
  <c r="FN195" i="30248"/>
  <c r="FO195" i="30248"/>
  <c r="FN192" i="30248"/>
  <c r="FO192" i="30248"/>
  <c r="FO189" i="30248"/>
  <c r="FQ191" i="30248"/>
  <c r="FM191" i="30248"/>
  <c r="FQ194" i="30248"/>
  <c r="FM194" i="30248"/>
  <c r="FN191" i="30248"/>
  <c r="FO191" i="30248"/>
  <c r="FO194" i="30248"/>
  <c r="FN194" i="30248"/>
  <c r="FO190" i="30248"/>
  <c r="FQ193" i="30248"/>
  <c r="FM193" i="30248"/>
  <c r="FQ196" i="30248"/>
  <c r="FM196" i="30248"/>
  <c r="FN193" i="30248"/>
  <c r="FO193" i="30248"/>
  <c r="ED175" i="30248" l="1"/>
  <c r="F174" i="30248" l="1"/>
  <c r="FQ175" i="30248" l="1"/>
  <c r="D171" i="30248" l="1"/>
  <c r="D170" i="30248"/>
  <c r="F171" i="30248"/>
  <c r="F170" i="30248"/>
  <c r="D169" i="30248"/>
  <c r="F169" i="30248"/>
  <c r="FP175" i="30248" l="1"/>
  <c r="FM175" i="30248"/>
  <c r="FN175" i="30248"/>
  <c r="FO175" i="30248"/>
  <c r="G177" i="30248" l="1"/>
  <c r="F177" i="30248"/>
  <c r="E177" i="30248"/>
  <c r="H177" i="30248"/>
  <c r="I177" i="30248"/>
  <c r="J177" i="30248"/>
  <c r="K177" i="30248"/>
  <c r="L177" i="30248"/>
  <c r="M177" i="30248"/>
  <c r="N177" i="30248"/>
  <c r="O177" i="30248"/>
  <c r="P177" i="30248"/>
  <c r="Q177" i="30248"/>
  <c r="R177" i="30248"/>
  <c r="S177" i="30248"/>
  <c r="T177" i="30248"/>
  <c r="U177" i="30248"/>
  <c r="V177" i="30248"/>
  <c r="W177" i="30248"/>
  <c r="X177" i="30248"/>
  <c r="Y177" i="30248"/>
  <c r="Z177" i="30248"/>
  <c r="AA177" i="30248"/>
  <c r="AB177" i="30248"/>
  <c r="AC177" i="30248"/>
  <c r="AD177" i="30248"/>
  <c r="AE177" i="30248"/>
  <c r="AF177" i="30248"/>
  <c r="AG177" i="30248"/>
  <c r="AH177" i="30248"/>
  <c r="AI177" i="30248"/>
  <c r="AJ177" i="30248"/>
  <c r="AK177" i="30248"/>
  <c r="AL177" i="30248"/>
  <c r="AM177" i="30248"/>
  <c r="AN177" i="30248"/>
  <c r="AO177" i="30248"/>
  <c r="AP177" i="30248"/>
  <c r="AQ177" i="30248"/>
  <c r="AR177" i="30248"/>
  <c r="AS177" i="30248"/>
  <c r="AT177" i="30248"/>
  <c r="AU177" i="30248"/>
  <c r="AV177" i="30248"/>
  <c r="AW177" i="30248"/>
  <c r="AX177" i="30248"/>
  <c r="AY177" i="30248"/>
  <c r="AZ177" i="30248"/>
  <c r="BA177" i="30248"/>
  <c r="BB177" i="30248"/>
  <c r="BC177" i="30248"/>
  <c r="BD177" i="30248"/>
  <c r="BE177" i="30248"/>
  <c r="BF177" i="30248"/>
  <c r="BG177" i="30248"/>
  <c r="BH177" i="30248"/>
  <c r="BI177" i="30248"/>
  <c r="BJ177" i="30248"/>
  <c r="BK177" i="30248"/>
  <c r="BL177" i="30248"/>
  <c r="BM177" i="30248"/>
  <c r="BN177" i="30248"/>
  <c r="BO177" i="30248"/>
  <c r="BP177" i="30248"/>
  <c r="BQ177" i="30248"/>
  <c r="BR177" i="30248"/>
  <c r="BS177" i="30248"/>
  <c r="BT177" i="30248"/>
  <c r="BU177" i="30248"/>
  <c r="BV177" i="30248"/>
  <c r="BW177" i="30248"/>
  <c r="BX177" i="30248"/>
  <c r="BY177" i="30248"/>
  <c r="BZ177" i="30248"/>
  <c r="CA177" i="30248"/>
  <c r="CB177" i="30248"/>
  <c r="CC177" i="30248"/>
  <c r="CD177" i="30248"/>
  <c r="CE177" i="30248"/>
  <c r="CF177" i="30248"/>
  <c r="CG177" i="30248"/>
  <c r="CH177" i="30248"/>
  <c r="CI177" i="30248"/>
  <c r="CJ177" i="30248"/>
  <c r="CK177" i="30248"/>
  <c r="CL177" i="30248"/>
  <c r="CM177" i="30248"/>
  <c r="CN177" i="30248"/>
  <c r="CO177" i="30248"/>
  <c r="CP177" i="30248"/>
  <c r="CQ177" i="30248"/>
  <c r="CR177" i="30248"/>
  <c r="CS177" i="30248"/>
  <c r="CT177" i="30248"/>
  <c r="CU177" i="30248"/>
  <c r="CV177" i="30248"/>
  <c r="DU177" i="30248"/>
  <c r="DV177" i="30248"/>
  <c r="DX177" i="30248"/>
  <c r="DY177" i="30248"/>
  <c r="DZ177" i="30248"/>
  <c r="EC177" i="30248"/>
  <c r="ED177" i="30248"/>
  <c r="EE177" i="30248"/>
  <c r="EJ177" i="30248"/>
  <c r="EK177" i="30248"/>
  <c r="EL177" i="30248"/>
  <c r="EM177" i="30248"/>
  <c r="EN177" i="30248"/>
  <c r="EO177" i="30248"/>
  <c r="EP177" i="30248"/>
  <c r="EQ177" i="30248"/>
  <c r="ER177" i="30248"/>
  <c r="ES177" i="30248"/>
  <c r="ET177" i="30248"/>
  <c r="EU177" i="30248"/>
  <c r="EV177" i="30248"/>
  <c r="EW177" i="30248"/>
  <c r="EX177" i="30248"/>
  <c r="EY177" i="30248"/>
  <c r="EZ177" i="30248"/>
  <c r="FA177" i="30248"/>
  <c r="FB177" i="30248"/>
  <c r="FC177" i="30248"/>
  <c r="FD177" i="30248"/>
  <c r="FE177" i="30248"/>
  <c r="FF177" i="30248"/>
  <c r="FG177" i="30248"/>
  <c r="FH177" i="30248"/>
  <c r="FI177" i="30248"/>
  <c r="FJ177" i="30248"/>
  <c r="FL177" i="30248"/>
  <c r="D177" i="30248"/>
  <c r="DK177" i="30248" l="1"/>
  <c r="EB177" i="30248"/>
  <c r="DJ177" i="30248"/>
  <c r="DI177" i="30248"/>
  <c r="DP177" i="30248"/>
  <c r="DH177" i="30248"/>
  <c r="DO177" i="30248"/>
  <c r="DN177" i="30248"/>
  <c r="DM177" i="30248"/>
  <c r="DL177" i="30248"/>
  <c r="AP8" i="30248"/>
  <c r="AQ8" i="30248"/>
  <c r="AR8" i="30248"/>
  <c r="AS8" i="30248"/>
  <c r="AT8" i="30248"/>
  <c r="AU8" i="30248"/>
  <c r="AV8" i="30248"/>
  <c r="AW8" i="30248"/>
  <c r="AP9" i="30248"/>
  <c r="AQ9" i="30248"/>
  <c r="AR9" i="30248"/>
  <c r="AS9" i="30248"/>
  <c r="AT9" i="30248"/>
  <c r="AU9" i="30248"/>
  <c r="AV9" i="30248"/>
  <c r="AW9" i="30248"/>
  <c r="BJ8" i="30248"/>
  <c r="BK8" i="30248"/>
  <c r="BL8" i="30248"/>
  <c r="BM8" i="30248"/>
  <c r="DL8" i="30248" s="1"/>
  <c r="BN8" i="30248"/>
  <c r="DM8" i="30248" s="1"/>
  <c r="BO8" i="30248"/>
  <c r="BP8" i="30248"/>
  <c r="BQ8" i="30248"/>
  <c r="BJ9" i="30248"/>
  <c r="BK9" i="30248"/>
  <c r="BL9" i="30248"/>
  <c r="BM9" i="30248"/>
  <c r="DL9" i="30248" s="1"/>
  <c r="BN9" i="30248"/>
  <c r="BO9" i="30248"/>
  <c r="BP9" i="30248"/>
  <c r="BQ9" i="30248"/>
  <c r="DI169" i="30248"/>
  <c r="DJ169" i="30248"/>
  <c r="DK169" i="30248"/>
  <c r="DL169" i="30248"/>
  <c r="DM169" i="30248"/>
  <c r="DN169" i="30248"/>
  <c r="DO169" i="30248"/>
  <c r="DP169" i="30248"/>
  <c r="DI93" i="30248"/>
  <c r="DJ93" i="30248"/>
  <c r="DK93" i="30248"/>
  <c r="DL93" i="30248"/>
  <c r="DM93" i="30248"/>
  <c r="DO93" i="30248"/>
  <c r="DP93" i="30248"/>
  <c r="DI77" i="30248"/>
  <c r="DJ77" i="30248"/>
  <c r="DK77" i="30248"/>
  <c r="DL77" i="30248"/>
  <c r="DM77" i="30248"/>
  <c r="DN77" i="30248"/>
  <c r="DO77" i="30248"/>
  <c r="DP77" i="30248"/>
  <c r="DI24" i="30248"/>
  <c r="DJ24" i="30248"/>
  <c r="DK24" i="30248"/>
  <c r="DL24" i="30248"/>
  <c r="DM24" i="30248"/>
  <c r="DN24" i="30248"/>
  <c r="DO24" i="30248"/>
  <c r="DP24" i="30248"/>
  <c r="AP171" i="30248"/>
  <c r="DI171" i="30248" s="1"/>
  <c r="AQ171" i="30248"/>
  <c r="DJ171" i="30248" s="1"/>
  <c r="AR171" i="30248"/>
  <c r="DK171" i="30248" s="1"/>
  <c r="AS171" i="30248"/>
  <c r="DL171" i="30248" s="1"/>
  <c r="AT171" i="30248"/>
  <c r="DM171" i="30248" s="1"/>
  <c r="AU171" i="30248"/>
  <c r="DN171" i="30248" s="1"/>
  <c r="AV171" i="30248"/>
  <c r="DO171" i="30248" s="1"/>
  <c r="AS170" i="30248"/>
  <c r="DL170" i="30248" s="1"/>
  <c r="AT170" i="30248"/>
  <c r="DM170" i="30248" s="1"/>
  <c r="AU170" i="30248"/>
  <c r="DN170" i="30248" s="1"/>
  <c r="AV170" i="30248"/>
  <c r="DO170" i="30248" s="1"/>
  <c r="AP170" i="30248"/>
  <c r="DI170" i="30248" s="1"/>
  <c r="AQ170" i="30248"/>
  <c r="DJ170" i="30248" s="1"/>
  <c r="AR170" i="30248"/>
  <c r="DK170" i="30248" s="1"/>
  <c r="AU93" i="30248"/>
  <c r="DN93" i="30248" s="1"/>
  <c r="DJ8" i="30248" l="1"/>
  <c r="DI8" i="30248"/>
  <c r="DK8" i="30248"/>
  <c r="DO9" i="30248"/>
  <c r="DM9" i="30248"/>
  <c r="DJ9" i="30248"/>
  <c r="DP8" i="30248"/>
  <c r="DK9" i="30248"/>
  <c r="DI9" i="30248"/>
  <c r="DP9" i="30248"/>
  <c r="DO8" i="30248"/>
  <c r="DN9" i="30248"/>
  <c r="DN8" i="30248"/>
  <c r="EA176" i="30248" l="1"/>
  <c r="EB176" i="30248" s="1"/>
  <c r="DT176" i="30248"/>
  <c r="DW176" i="30248"/>
  <c r="CH176" i="30248"/>
  <c r="CC176" i="30248"/>
  <c r="DR176" i="30248" s="1"/>
  <c r="CB176" i="30248"/>
  <c r="DQ176" i="30248" s="1"/>
  <c r="BF176" i="30248"/>
  <c r="DD176" i="30248" s="1"/>
  <c r="BG176" i="30248"/>
  <c r="DF176" i="30248" s="1"/>
  <c r="BH176" i="30248"/>
  <c r="DG176" i="30248" s="1"/>
  <c r="BI176" i="30248"/>
  <c r="DH176" i="30248" s="1"/>
  <c r="BL176" i="30248"/>
  <c r="DK176" i="30248" s="1"/>
  <c r="BQ176" i="30248"/>
  <c r="DP176" i="30248" s="1"/>
  <c r="BE176" i="30248"/>
  <c r="DB176" i="30248" s="1"/>
  <c r="BD176" i="30248"/>
  <c r="DA176" i="30248" s="1"/>
  <c r="BA176" i="30248"/>
  <c r="CX176" i="30248" s="1"/>
  <c r="BB176" i="30248"/>
  <c r="CY176" i="30248" s="1"/>
  <c r="BC176" i="30248"/>
  <c r="CZ176" i="30248" s="1"/>
  <c r="FQ176" i="30248" s="1"/>
  <c r="AZ176" i="30248"/>
  <c r="CW176" i="30248" s="1"/>
  <c r="F176" i="30248"/>
  <c r="E176" i="30248"/>
  <c r="D176" i="30248"/>
  <c r="DE176" i="30248" l="1"/>
  <c r="DC176" i="30248"/>
  <c r="FO176" i="30248"/>
  <c r="FM176" i="30248"/>
  <c r="FP176" i="30248"/>
  <c r="FN176" i="30248"/>
  <c r="E169" i="30248"/>
  <c r="P169" i="30248" s="1"/>
  <c r="O169" i="30248"/>
  <c r="Q170" i="30248"/>
  <c r="DS125" i="30248"/>
  <c r="DS10" i="30248"/>
  <c r="DA10" i="30248"/>
  <c r="DT11" i="30248"/>
  <c r="DT12" i="30248"/>
  <c r="DT13" i="30248"/>
  <c r="DT14" i="30248"/>
  <c r="DT15" i="30248"/>
  <c r="DT16" i="30248"/>
  <c r="DT17" i="30248"/>
  <c r="DT18" i="30248"/>
  <c r="DT19" i="30248"/>
  <c r="DT20" i="30248"/>
  <c r="DT21" i="30248"/>
  <c r="DT22" i="30248"/>
  <c r="DT37" i="30248"/>
  <c r="DT38" i="30248"/>
  <c r="DT39" i="30248"/>
  <c r="DT40" i="30248"/>
  <c r="DT41" i="30248"/>
  <c r="DT42" i="30248"/>
  <c r="DT43" i="30248"/>
  <c r="DT44" i="30248"/>
  <c r="DT45" i="30248"/>
  <c r="DT46" i="30248"/>
  <c r="DT47" i="30248"/>
  <c r="DT48" i="30248"/>
  <c r="DT49" i="30248"/>
  <c r="DT50" i="30248"/>
  <c r="DT51" i="30248"/>
  <c r="DT52" i="30248"/>
  <c r="DT53" i="30248"/>
  <c r="DT54" i="30248"/>
  <c r="DT55" i="30248"/>
  <c r="DT56" i="30248"/>
  <c r="DT57" i="30248"/>
  <c r="DT58" i="30248"/>
  <c r="DT59" i="30248"/>
  <c r="DT60" i="30248"/>
  <c r="DT61" i="30248"/>
  <c r="DT62" i="30248"/>
  <c r="DT63" i="30248"/>
  <c r="DT64" i="30248"/>
  <c r="DT65" i="30248"/>
  <c r="DT66" i="30248"/>
  <c r="DT67" i="30248"/>
  <c r="DT68" i="30248"/>
  <c r="DT69" i="30248"/>
  <c r="DT70" i="30248"/>
  <c r="DT9" i="30248" s="1"/>
  <c r="DT71" i="30248"/>
  <c r="DT72" i="30248"/>
  <c r="DT73" i="30248"/>
  <c r="DT74" i="30248"/>
  <c r="DT75" i="30248"/>
  <c r="DT76" i="30248"/>
  <c r="DT77" i="30248"/>
  <c r="DT78" i="30248"/>
  <c r="DT79" i="30248"/>
  <c r="DT177" i="30248" s="1"/>
  <c r="DT80" i="30248"/>
  <c r="DT81" i="30248"/>
  <c r="DT82" i="30248"/>
  <c r="DT83" i="30248"/>
  <c r="DT84" i="30248"/>
  <c r="DT85" i="30248"/>
  <c r="DT86" i="30248"/>
  <c r="DT87" i="30248"/>
  <c r="DT88" i="30248"/>
  <c r="DT89" i="30248"/>
  <c r="DT97" i="30248"/>
  <c r="DT98" i="30248"/>
  <c r="DT99" i="30248"/>
  <c r="DT100" i="30248"/>
  <c r="DT101" i="30248"/>
  <c r="DT102" i="30248"/>
  <c r="DT103" i="30248"/>
  <c r="DT104" i="30248"/>
  <c r="DT105" i="30248"/>
  <c r="DT106" i="30248"/>
  <c r="DT107" i="30248"/>
  <c r="DT108" i="30248"/>
  <c r="DT109" i="30248"/>
  <c r="DT110" i="30248"/>
  <c r="DT111" i="30248"/>
  <c r="DT112" i="30248"/>
  <c r="DT113" i="30248"/>
  <c r="DT114" i="30248"/>
  <c r="DT115" i="30248"/>
  <c r="DT116" i="30248"/>
  <c r="DT117" i="30248"/>
  <c r="DT118" i="30248"/>
  <c r="DT119" i="30248"/>
  <c r="DT120" i="30248"/>
  <c r="DT121" i="30248"/>
  <c r="DT122" i="30248"/>
  <c r="DT123" i="30248"/>
  <c r="DT124" i="30248"/>
  <c r="DT125" i="30248"/>
  <c r="DT126" i="30248"/>
  <c r="DT127" i="30248"/>
  <c r="DT128" i="30248"/>
  <c r="DT129" i="30248"/>
  <c r="DT130" i="30248"/>
  <c r="DT131" i="30248"/>
  <c r="DT132" i="30248"/>
  <c r="DT133" i="30248"/>
  <c r="DT134" i="30248"/>
  <c r="DT135" i="30248"/>
  <c r="DT136" i="30248"/>
  <c r="DT137" i="30248"/>
  <c r="DT138" i="30248"/>
  <c r="DT139" i="30248"/>
  <c r="DT140" i="30248"/>
  <c r="DT141" i="30248"/>
  <c r="DT142" i="30248"/>
  <c r="DT143" i="30248"/>
  <c r="DT144" i="30248"/>
  <c r="DT145" i="30248"/>
  <c r="DT146" i="30248"/>
  <c r="DT147" i="30248"/>
  <c r="DT148" i="30248"/>
  <c r="DT149" i="30248"/>
  <c r="DT150" i="30248"/>
  <c r="DT151" i="30248"/>
  <c r="DT152" i="30248"/>
  <c r="DT153" i="30248"/>
  <c r="DT154" i="30248"/>
  <c r="DT155" i="30248"/>
  <c r="DT156" i="30248"/>
  <c r="DT157" i="30248"/>
  <c r="DT158" i="30248"/>
  <c r="DT159" i="30248"/>
  <c r="DT160" i="30248"/>
  <c r="DT161" i="30248"/>
  <c r="DT162" i="30248"/>
  <c r="DT163" i="30248"/>
  <c r="DT164" i="30248"/>
  <c r="DT165" i="30248"/>
  <c r="DT166" i="30248"/>
  <c r="DT167" i="30248"/>
  <c r="DT168" i="30248"/>
  <c r="DT169" i="30248"/>
  <c r="DT170" i="30248"/>
  <c r="DT171" i="30248"/>
  <c r="DT172" i="30248"/>
  <c r="DT173" i="30248"/>
  <c r="DT174" i="30248"/>
  <c r="DT175" i="30248"/>
  <c r="DT178" i="30248"/>
  <c r="DT179" i="30248"/>
  <c r="DT180" i="30248"/>
  <c r="DT181" i="30248"/>
  <c r="DT182" i="30248"/>
  <c r="DT183" i="30248"/>
  <c r="DT184" i="30248"/>
  <c r="DT10" i="30248"/>
  <c r="DS11" i="30248"/>
  <c r="DS12" i="30248"/>
  <c r="DS13" i="30248"/>
  <c r="DS14" i="30248"/>
  <c r="DS15" i="30248"/>
  <c r="DS16" i="30248"/>
  <c r="DS17" i="30248"/>
  <c r="DS18" i="30248"/>
  <c r="DS19" i="30248"/>
  <c r="DS20" i="30248"/>
  <c r="DS21" i="30248"/>
  <c r="DS22" i="30248"/>
  <c r="DS23" i="30248"/>
  <c r="DS24" i="30248"/>
  <c r="DS8" i="30248" s="1"/>
  <c r="DS25" i="30248"/>
  <c r="DS26" i="30248"/>
  <c r="DS27" i="30248"/>
  <c r="DS28" i="30248"/>
  <c r="DS29" i="30248"/>
  <c r="DS30" i="30248"/>
  <c r="DS31" i="30248"/>
  <c r="DS32" i="30248"/>
  <c r="DS33" i="30248"/>
  <c r="DS34" i="30248"/>
  <c r="DS35" i="30248"/>
  <c r="DS36" i="30248"/>
  <c r="DS37" i="30248"/>
  <c r="DS38" i="30248"/>
  <c r="DS39" i="30248"/>
  <c r="DS40" i="30248"/>
  <c r="DS41" i="30248"/>
  <c r="DS42" i="30248"/>
  <c r="DS43" i="30248"/>
  <c r="DS44" i="30248"/>
  <c r="DS45" i="30248"/>
  <c r="DS46" i="30248"/>
  <c r="DS47" i="30248"/>
  <c r="DS48" i="30248"/>
  <c r="DS49" i="30248"/>
  <c r="DS50" i="30248"/>
  <c r="DS51" i="30248"/>
  <c r="DS52" i="30248"/>
  <c r="DS53" i="30248"/>
  <c r="DS54" i="30248"/>
  <c r="DS55" i="30248"/>
  <c r="DS56" i="30248"/>
  <c r="DS57" i="30248"/>
  <c r="DS58" i="30248"/>
  <c r="DS59" i="30248"/>
  <c r="DS60" i="30248"/>
  <c r="DS61" i="30248"/>
  <c r="DS62" i="30248"/>
  <c r="DS63" i="30248"/>
  <c r="DS64" i="30248"/>
  <c r="DS65" i="30248"/>
  <c r="DS66" i="30248"/>
  <c r="DS67" i="30248"/>
  <c r="DS68" i="30248"/>
  <c r="DS69" i="30248"/>
  <c r="DS70" i="30248"/>
  <c r="DS9" i="30248" s="1"/>
  <c r="DS71" i="30248"/>
  <c r="DS72" i="30248"/>
  <c r="DS73" i="30248"/>
  <c r="DS74" i="30248"/>
  <c r="DS75" i="30248"/>
  <c r="DS76" i="30248"/>
  <c r="DS77" i="30248"/>
  <c r="DS78" i="30248"/>
  <c r="DS79" i="30248"/>
  <c r="DS177" i="30248" s="1"/>
  <c r="DS80" i="30248"/>
  <c r="DS81" i="30248"/>
  <c r="DS82" i="30248"/>
  <c r="DS83" i="30248"/>
  <c r="DS84" i="30248"/>
  <c r="DS85" i="30248"/>
  <c r="DS86" i="30248"/>
  <c r="DS87" i="30248"/>
  <c r="DS88" i="30248"/>
  <c r="DS89" i="30248"/>
  <c r="DS90" i="30248"/>
  <c r="DS91" i="30248"/>
  <c r="DS92" i="30248"/>
  <c r="DS93" i="30248"/>
  <c r="DS94" i="30248"/>
  <c r="DS95" i="30248"/>
  <c r="DS96" i="30248"/>
  <c r="DS97" i="30248"/>
  <c r="DS98" i="30248"/>
  <c r="DS99" i="30248"/>
  <c r="DS100" i="30248"/>
  <c r="DS101" i="30248"/>
  <c r="DS102" i="30248"/>
  <c r="DS103" i="30248"/>
  <c r="DS104" i="30248"/>
  <c r="DS105" i="30248"/>
  <c r="DS106" i="30248"/>
  <c r="DS107" i="30248"/>
  <c r="DS108" i="30248"/>
  <c r="DS109" i="30248"/>
  <c r="DS110" i="30248"/>
  <c r="DS111" i="30248"/>
  <c r="DS112" i="30248"/>
  <c r="DS113" i="30248"/>
  <c r="DS114" i="30248"/>
  <c r="DS115" i="30248"/>
  <c r="DS116" i="30248"/>
  <c r="DS117" i="30248"/>
  <c r="DS118" i="30248"/>
  <c r="DS119" i="30248"/>
  <c r="DS120" i="30248"/>
  <c r="DS121" i="30248"/>
  <c r="DS122" i="30248"/>
  <c r="DS123" i="30248"/>
  <c r="DS124" i="30248"/>
  <c r="DS126" i="30248"/>
  <c r="DS127" i="30248"/>
  <c r="DS128" i="30248"/>
  <c r="DS129" i="30248"/>
  <c r="DS130" i="30248"/>
  <c r="DS131" i="30248"/>
  <c r="DS132" i="30248"/>
  <c r="DS133" i="30248"/>
  <c r="DS134" i="30248"/>
  <c r="DS135" i="30248"/>
  <c r="DS136" i="30248"/>
  <c r="DS137" i="30248"/>
  <c r="DS138" i="30248"/>
  <c r="DS139" i="30248"/>
  <c r="DS140" i="30248"/>
  <c r="DS141" i="30248"/>
  <c r="DS142" i="30248"/>
  <c r="DS143" i="30248"/>
  <c r="DS144" i="30248"/>
  <c r="DS145" i="30248"/>
  <c r="DS146" i="30248"/>
  <c r="DS147" i="30248"/>
  <c r="DS148" i="30248"/>
  <c r="DS149" i="30248"/>
  <c r="DS150" i="30248"/>
  <c r="DS151" i="30248"/>
  <c r="DS152" i="30248"/>
  <c r="DS153" i="30248"/>
  <c r="DS154" i="30248"/>
  <c r="DS155" i="30248"/>
  <c r="DS156" i="30248"/>
  <c r="DS157" i="30248"/>
  <c r="DS158" i="30248"/>
  <c r="DS159" i="30248"/>
  <c r="DS160" i="30248"/>
  <c r="DS161" i="30248"/>
  <c r="DS162" i="30248"/>
  <c r="DS163" i="30248"/>
  <c r="DS164" i="30248"/>
  <c r="DS165" i="30248"/>
  <c r="DS166" i="30248"/>
  <c r="DS167" i="30248"/>
  <c r="DS168" i="30248"/>
  <c r="DS169" i="30248"/>
  <c r="DS170" i="30248"/>
  <c r="DS171" i="30248"/>
  <c r="DS172" i="30248"/>
  <c r="DS173" i="30248"/>
  <c r="DS174" i="30248"/>
  <c r="DS175" i="30248"/>
  <c r="DS178" i="30248"/>
  <c r="DS179" i="30248"/>
  <c r="DS180" i="30248"/>
  <c r="DS181" i="30248"/>
  <c r="DS182" i="30248"/>
  <c r="DS183" i="30248"/>
  <c r="DS184" i="30248"/>
  <c r="CE96" i="30248"/>
  <c r="DT96" i="30248" s="1"/>
  <c r="CE95" i="30248"/>
  <c r="DT95" i="30248" s="1"/>
  <c r="CE94" i="30248"/>
  <c r="DT94" i="30248" s="1"/>
  <c r="CE93" i="30248"/>
  <c r="DT93" i="30248" s="1"/>
  <c r="CE92" i="30248"/>
  <c r="DT92" i="30248" s="1"/>
  <c r="CE91" i="30248"/>
  <c r="DT91" i="30248" s="1"/>
  <c r="CE90" i="30248"/>
  <c r="DT90" i="30248" s="1"/>
  <c r="CE24" i="30248"/>
  <c r="DT24" i="30248" s="1"/>
  <c r="DT8" i="30248" s="1"/>
  <c r="CE25" i="30248"/>
  <c r="DT25" i="30248" s="1"/>
  <c r="CE26" i="30248"/>
  <c r="DT26" i="30248" s="1"/>
  <c r="CE27" i="30248"/>
  <c r="DT27" i="30248" s="1"/>
  <c r="CE28" i="30248"/>
  <c r="DT28" i="30248" s="1"/>
  <c r="CE29" i="30248"/>
  <c r="DT29" i="30248" s="1"/>
  <c r="CE30" i="30248"/>
  <c r="DT30" i="30248" s="1"/>
  <c r="CE31" i="30248"/>
  <c r="DT31" i="30248" s="1"/>
  <c r="CE32" i="30248"/>
  <c r="DT32" i="30248" s="1"/>
  <c r="CE33" i="30248"/>
  <c r="DT33" i="30248" s="1"/>
  <c r="CE34" i="30248"/>
  <c r="DT34" i="30248" s="1"/>
  <c r="CE35" i="30248"/>
  <c r="DT35" i="30248" s="1"/>
  <c r="CE36" i="30248"/>
  <c r="DT36" i="30248" s="1"/>
  <c r="CE23" i="30248"/>
  <c r="DT23" i="30248" s="1"/>
  <c r="DA79" i="30248"/>
  <c r="DA177" i="30248" s="1"/>
  <c r="AJ8" i="30248"/>
  <c r="BD8" i="30248"/>
  <c r="AJ9" i="30248"/>
  <c r="BD9" i="30248"/>
  <c r="BD50" i="30248"/>
  <c r="DA50" i="30248" s="1"/>
  <c r="AJ170" i="30248"/>
  <c r="DA170" i="30248" s="1"/>
  <c r="AJ171" i="30248"/>
  <c r="DA171" i="30248" s="1"/>
  <c r="BS8" i="30248"/>
  <c r="BS9" i="30248"/>
  <c r="J8" i="30248"/>
  <c r="J9" i="30248"/>
  <c r="EM8" i="30248"/>
  <c r="EM9" i="30248"/>
  <c r="AN8" i="30248"/>
  <c r="BH8" i="30248"/>
  <c r="AN9" i="30248"/>
  <c r="BH9" i="30248"/>
  <c r="BH50" i="30248"/>
  <c r="DG50" i="30248" s="1"/>
  <c r="AN170" i="30248"/>
  <c r="DG170" i="30248" s="1"/>
  <c r="AN171" i="30248"/>
  <c r="DG171" i="30248" s="1"/>
  <c r="DG10" i="30248"/>
  <c r="EB10" i="30248"/>
  <c r="EE8" i="30248"/>
  <c r="EE9" i="30248"/>
  <c r="BU8" i="30248"/>
  <c r="BU9" i="30248"/>
  <c r="EO8" i="30248"/>
  <c r="EO9" i="30248"/>
  <c r="BX8" i="30248"/>
  <c r="BX9" i="30248"/>
  <c r="DZ8" i="30248"/>
  <c r="DZ9" i="30248"/>
  <c r="AK8" i="30248"/>
  <c r="BE8" i="30248"/>
  <c r="AK9" i="30248"/>
  <c r="BE9" i="30248"/>
  <c r="DB10" i="30248"/>
  <c r="BE50" i="30248"/>
  <c r="DB50" i="30248" s="1"/>
  <c r="AK170" i="30248"/>
  <c r="DB170" i="30248" s="1"/>
  <c r="AK171" i="30248"/>
  <c r="DB171" i="30248" s="1"/>
  <c r="E8" i="30248"/>
  <c r="E9" i="30248"/>
  <c r="EP8" i="30248"/>
  <c r="EP9" i="30248"/>
  <c r="I8" i="30248"/>
  <c r="I9" i="30248"/>
  <c r="AH8" i="30248"/>
  <c r="BB8" i="30248"/>
  <c r="AH9" i="30248"/>
  <c r="BB9" i="30248"/>
  <c r="CY10" i="30248"/>
  <c r="BB50" i="30248"/>
  <c r="CY50" i="30248" s="1"/>
  <c r="DR10" i="30248"/>
  <c r="F8" i="30248"/>
  <c r="F9" i="30248"/>
  <c r="AO8" i="30248"/>
  <c r="BI8" i="30248"/>
  <c r="AO9" i="30248"/>
  <c r="BI9" i="30248"/>
  <c r="BI50" i="30248"/>
  <c r="DH50" i="30248" s="1"/>
  <c r="AO170" i="30248"/>
  <c r="DH170" i="30248" s="1"/>
  <c r="AO171" i="30248"/>
  <c r="DH171" i="30248" s="1"/>
  <c r="DH10" i="30248"/>
  <c r="BT8" i="30248"/>
  <c r="BT9" i="30248"/>
  <c r="EN8" i="30248"/>
  <c r="EN9" i="30248"/>
  <c r="EH10" i="30248"/>
  <c r="ED8" i="30248"/>
  <c r="ED9" i="30248"/>
  <c r="K8" i="30248"/>
  <c r="K9" i="30248"/>
  <c r="AM8" i="30248"/>
  <c r="BG8" i="30248"/>
  <c r="AM9" i="30248"/>
  <c r="BG9" i="30248"/>
  <c r="BG50" i="30248"/>
  <c r="DF50" i="30248" s="1"/>
  <c r="AM170" i="30248"/>
  <c r="DF170" i="30248" s="1"/>
  <c r="AM171" i="30248"/>
  <c r="DF171" i="30248" s="1"/>
  <c r="DF10" i="30248"/>
  <c r="BL50" i="30248"/>
  <c r="EI50" i="30248" s="1"/>
  <c r="EI170" i="30248"/>
  <c r="EI171" i="30248"/>
  <c r="DC10" i="30248"/>
  <c r="CW172" i="30248"/>
  <c r="CX172" i="30248"/>
  <c r="CY172" i="30248"/>
  <c r="CZ172" i="30248"/>
  <c r="DA172" i="30248"/>
  <c r="DB172" i="30248"/>
  <c r="DD172" i="30248"/>
  <c r="DE172" i="30248" s="1"/>
  <c r="DF172" i="30248"/>
  <c r="DG172" i="30248"/>
  <c r="EB172" i="30248"/>
  <c r="DW172" i="30248"/>
  <c r="DX9" i="30248"/>
  <c r="BW8" i="30248"/>
  <c r="BW9" i="30248"/>
  <c r="D8" i="30248"/>
  <c r="D9" i="30248"/>
  <c r="EQ8" i="30248"/>
  <c r="EQ9" i="30248"/>
  <c r="EL8" i="30248"/>
  <c r="EL9" i="30248"/>
  <c r="ES8" i="30248"/>
  <c r="ES9" i="30248"/>
  <c r="EK8" i="30248"/>
  <c r="EK9" i="30248"/>
  <c r="DY8" i="30248"/>
  <c r="DY9" i="30248"/>
  <c r="AI8" i="30248"/>
  <c r="BC8" i="30248"/>
  <c r="AI9" i="30248"/>
  <c r="BC9" i="30248"/>
  <c r="CZ10" i="30248"/>
  <c r="FQ10" i="30248" s="1"/>
  <c r="BC50" i="30248"/>
  <c r="CZ50" i="30248" s="1"/>
  <c r="FQ50" i="30248" s="1"/>
  <c r="AI170" i="30248"/>
  <c r="CZ170" i="30248" s="1"/>
  <c r="FQ170" i="30248" s="1"/>
  <c r="AI171" i="30248"/>
  <c r="CZ171" i="30248" s="1"/>
  <c r="FQ171" i="30248" s="1"/>
  <c r="ET8" i="30248"/>
  <c r="ET9" i="30248"/>
  <c r="EB36" i="30248"/>
  <c r="EB37" i="30248"/>
  <c r="EB38" i="30248"/>
  <c r="EB39" i="30248"/>
  <c r="EB40" i="30248"/>
  <c r="EB41" i="30248"/>
  <c r="EB42" i="30248"/>
  <c r="EB43" i="30248"/>
  <c r="EB44" i="30248"/>
  <c r="EB45" i="30248"/>
  <c r="EB46" i="30248"/>
  <c r="EB47" i="30248"/>
  <c r="EB48" i="30248"/>
  <c r="EB49" i="30248"/>
  <c r="EB50" i="30248"/>
  <c r="EB51" i="30248"/>
  <c r="EB52" i="30248"/>
  <c r="EB53" i="30248"/>
  <c r="EB54" i="30248"/>
  <c r="EB55" i="30248"/>
  <c r="EB56" i="30248"/>
  <c r="EB57" i="30248"/>
  <c r="EB58" i="30248"/>
  <c r="EB59" i="30248"/>
  <c r="EB60" i="30248"/>
  <c r="EB61" i="30248"/>
  <c r="EB62" i="30248"/>
  <c r="EB63" i="30248"/>
  <c r="EB64" i="30248"/>
  <c r="EB65" i="30248"/>
  <c r="EB66" i="30248"/>
  <c r="EB67" i="30248"/>
  <c r="EB68" i="30248"/>
  <c r="EB69" i="30248"/>
  <c r="EB70" i="30248"/>
  <c r="EB9" i="30248" s="1"/>
  <c r="EB71" i="30248"/>
  <c r="EB72" i="30248"/>
  <c r="EB73" i="30248"/>
  <c r="EB74" i="30248"/>
  <c r="EB75" i="30248"/>
  <c r="EB76" i="30248"/>
  <c r="EB77" i="30248"/>
  <c r="EB78" i="30248"/>
  <c r="EB79" i="30248"/>
  <c r="EB80" i="30248"/>
  <c r="EB81" i="30248"/>
  <c r="EB82" i="30248"/>
  <c r="EB83" i="30248"/>
  <c r="EB84" i="30248"/>
  <c r="EB85" i="30248"/>
  <c r="EB86" i="30248"/>
  <c r="EB87" i="30248"/>
  <c r="EB88" i="30248"/>
  <c r="EB89" i="30248"/>
  <c r="EB90" i="30248"/>
  <c r="EB91" i="30248"/>
  <c r="EB92" i="30248"/>
  <c r="EB93" i="30248"/>
  <c r="EB94" i="30248"/>
  <c r="EB95" i="30248"/>
  <c r="EB96" i="30248"/>
  <c r="EB97" i="30248"/>
  <c r="EB98" i="30248"/>
  <c r="EB99" i="30248"/>
  <c r="EB100" i="30248"/>
  <c r="EB101" i="30248"/>
  <c r="EB102" i="30248"/>
  <c r="EB103" i="30248"/>
  <c r="EB104" i="30248"/>
  <c r="EB105" i="30248"/>
  <c r="EB106" i="30248"/>
  <c r="EB107" i="30248"/>
  <c r="EB108" i="30248"/>
  <c r="EB109" i="30248"/>
  <c r="EB110" i="30248"/>
  <c r="EB111" i="30248"/>
  <c r="EB112" i="30248"/>
  <c r="EB113" i="30248"/>
  <c r="EB114" i="30248"/>
  <c r="EB115" i="30248"/>
  <c r="EB116" i="30248"/>
  <c r="EB117" i="30248"/>
  <c r="EB118" i="30248"/>
  <c r="EB119" i="30248"/>
  <c r="EB120" i="30248"/>
  <c r="EB121" i="30248"/>
  <c r="EB122" i="30248"/>
  <c r="EB123" i="30248"/>
  <c r="EB124" i="30248"/>
  <c r="EB125" i="30248"/>
  <c r="EB126" i="30248"/>
  <c r="EB127" i="30248"/>
  <c r="EB128" i="30248"/>
  <c r="EB129" i="30248"/>
  <c r="EB130" i="30248"/>
  <c r="EB131" i="30248"/>
  <c r="EB132" i="30248"/>
  <c r="EB133" i="30248"/>
  <c r="EB134" i="30248"/>
  <c r="EB135" i="30248"/>
  <c r="EB136" i="30248"/>
  <c r="EB137" i="30248"/>
  <c r="EB138" i="30248"/>
  <c r="EB139" i="30248"/>
  <c r="EB140" i="30248"/>
  <c r="EB141" i="30248"/>
  <c r="EB142" i="30248"/>
  <c r="EB143" i="30248"/>
  <c r="EB144" i="30248"/>
  <c r="EB145" i="30248"/>
  <c r="EB146" i="30248"/>
  <c r="EB147" i="30248"/>
  <c r="EB148" i="30248"/>
  <c r="EB149" i="30248"/>
  <c r="EB150" i="30248"/>
  <c r="EB151" i="30248"/>
  <c r="EB152" i="30248"/>
  <c r="EB153" i="30248"/>
  <c r="EB154" i="30248"/>
  <c r="EB155" i="30248"/>
  <c r="EB156" i="30248"/>
  <c r="EB157" i="30248"/>
  <c r="EB158" i="30248"/>
  <c r="EB159" i="30248"/>
  <c r="EB160" i="30248"/>
  <c r="EB161" i="30248"/>
  <c r="EB162" i="30248"/>
  <c r="EB163" i="30248"/>
  <c r="EB164" i="30248"/>
  <c r="EB165" i="30248"/>
  <c r="EB166" i="30248"/>
  <c r="EB167" i="30248"/>
  <c r="EB168" i="30248"/>
  <c r="EB169" i="30248"/>
  <c r="EB170" i="30248"/>
  <c r="EB171" i="30248"/>
  <c r="EB173" i="30248"/>
  <c r="EB174" i="30248"/>
  <c r="EB175" i="30248"/>
  <c r="EB35" i="30248"/>
  <c r="EB34" i="30248"/>
  <c r="EB33" i="30248"/>
  <c r="EB32" i="30248"/>
  <c r="EB31" i="30248"/>
  <c r="EB30" i="30248"/>
  <c r="EB29" i="30248"/>
  <c r="EB28" i="30248"/>
  <c r="EB27" i="30248"/>
  <c r="EB26" i="30248"/>
  <c r="EB25" i="30248"/>
  <c r="EB24" i="30248"/>
  <c r="EB8" i="30248" s="1"/>
  <c r="EB23" i="30248"/>
  <c r="EB22" i="30248"/>
  <c r="EB21" i="30248"/>
  <c r="EB20" i="30248"/>
  <c r="EB19" i="30248"/>
  <c r="EB17" i="30248"/>
  <c r="EB18" i="30248"/>
  <c r="EB13" i="30248"/>
  <c r="EB14" i="30248"/>
  <c r="DW13" i="30248"/>
  <c r="DW14" i="30248"/>
  <c r="DW15" i="30248"/>
  <c r="DW16" i="30248"/>
  <c r="DW17" i="30248"/>
  <c r="DW18" i="30248"/>
  <c r="DW19" i="30248"/>
  <c r="DW20" i="30248"/>
  <c r="DW21" i="30248"/>
  <c r="DW22" i="30248"/>
  <c r="DW23" i="30248"/>
  <c r="DW25" i="30248"/>
  <c r="DW26" i="30248"/>
  <c r="DW27" i="30248"/>
  <c r="DW28" i="30248"/>
  <c r="DW29" i="30248"/>
  <c r="DW30" i="30248"/>
  <c r="DW31" i="30248"/>
  <c r="DW32" i="30248"/>
  <c r="DW33" i="30248"/>
  <c r="DW34" i="30248"/>
  <c r="DW35" i="30248"/>
  <c r="DW36" i="30248"/>
  <c r="DW37" i="30248"/>
  <c r="DW38" i="30248"/>
  <c r="DW39" i="30248"/>
  <c r="DW40" i="30248"/>
  <c r="DW41" i="30248"/>
  <c r="DW42" i="30248"/>
  <c r="DW43" i="30248"/>
  <c r="DW44" i="30248"/>
  <c r="DW45" i="30248"/>
  <c r="DW46" i="30248"/>
  <c r="DW47" i="30248"/>
  <c r="DW48" i="30248"/>
  <c r="DW49" i="30248"/>
  <c r="DW50" i="30248"/>
  <c r="DW51" i="30248"/>
  <c r="DW52" i="30248"/>
  <c r="DW53" i="30248"/>
  <c r="DW54" i="30248"/>
  <c r="DW55" i="30248"/>
  <c r="DW56" i="30248"/>
  <c r="DW57" i="30248"/>
  <c r="DW58" i="30248"/>
  <c r="DW59" i="30248"/>
  <c r="DW60" i="30248"/>
  <c r="DW61" i="30248"/>
  <c r="DW62" i="30248"/>
  <c r="DW63" i="30248"/>
  <c r="DW64" i="30248"/>
  <c r="DW65" i="30248"/>
  <c r="DW66" i="30248"/>
  <c r="DW67" i="30248"/>
  <c r="DW68" i="30248"/>
  <c r="DW69" i="30248"/>
  <c r="DW70" i="30248"/>
  <c r="DW9" i="30248" s="1"/>
  <c r="DW71" i="30248"/>
  <c r="DW72" i="30248"/>
  <c r="DW73" i="30248"/>
  <c r="DW74" i="30248"/>
  <c r="DW75" i="30248"/>
  <c r="DW76" i="30248"/>
  <c r="DW77" i="30248"/>
  <c r="DW78" i="30248"/>
  <c r="DW177" i="30248"/>
  <c r="DW80" i="30248"/>
  <c r="DW81" i="30248"/>
  <c r="DW82" i="30248"/>
  <c r="DW83" i="30248"/>
  <c r="DW84" i="30248"/>
  <c r="DW85" i="30248"/>
  <c r="DW86" i="30248"/>
  <c r="DW87" i="30248"/>
  <c r="DW88" i="30248"/>
  <c r="DW89" i="30248"/>
  <c r="DW90" i="30248"/>
  <c r="DW91" i="30248"/>
  <c r="DW92" i="30248"/>
  <c r="DW93" i="30248"/>
  <c r="DW94" i="30248"/>
  <c r="DW95" i="30248"/>
  <c r="DW96" i="30248"/>
  <c r="DW97" i="30248"/>
  <c r="DW98" i="30248"/>
  <c r="DW99" i="30248"/>
  <c r="DW100" i="30248"/>
  <c r="DW101" i="30248"/>
  <c r="DW102" i="30248"/>
  <c r="DW103" i="30248"/>
  <c r="DW104" i="30248"/>
  <c r="DW105" i="30248"/>
  <c r="DW106" i="30248"/>
  <c r="DW107" i="30248"/>
  <c r="DW108" i="30248"/>
  <c r="DW109" i="30248"/>
  <c r="DW110" i="30248"/>
  <c r="DW111" i="30248"/>
  <c r="DW116" i="30248"/>
  <c r="DW117" i="30248"/>
  <c r="DW118" i="30248"/>
  <c r="DW119" i="30248"/>
  <c r="DW120" i="30248"/>
  <c r="DW121" i="30248"/>
  <c r="DW122" i="30248"/>
  <c r="DW123" i="30248"/>
  <c r="DW167" i="30248"/>
  <c r="DW168" i="30248"/>
  <c r="DW169" i="30248"/>
  <c r="DW170" i="30248"/>
  <c r="DW171" i="30248"/>
  <c r="DW173" i="30248"/>
  <c r="DW174" i="30248"/>
  <c r="DW175" i="30248"/>
  <c r="DW180" i="30248"/>
  <c r="DW184" i="30248"/>
  <c r="DW185" i="30248"/>
  <c r="DW186" i="30248"/>
  <c r="DW187" i="30248"/>
  <c r="ET168" i="30248"/>
  <c r="EU168" i="30248"/>
  <c r="EV168" i="30248"/>
  <c r="EW168" i="30248"/>
  <c r="EX168" i="30248"/>
  <c r="EY168" i="30248"/>
  <c r="EZ168" i="30248"/>
  <c r="ES168" i="30248"/>
  <c r="ET167" i="30248"/>
  <c r="EU167" i="30248"/>
  <c r="EV167" i="30248"/>
  <c r="EW167" i="30248"/>
  <c r="EX167" i="30248"/>
  <c r="EY167" i="30248"/>
  <c r="EZ167" i="30248"/>
  <c r="ES167" i="30248"/>
  <c r="EE167" i="30248"/>
  <c r="EE141" i="30248"/>
  <c r="EE147" i="30248"/>
  <c r="ET146" i="30248"/>
  <c r="EU146" i="30248"/>
  <c r="EV146" i="30248"/>
  <c r="EW146" i="30248"/>
  <c r="EX146" i="30248"/>
  <c r="EY146" i="30248"/>
  <c r="EZ146" i="30248"/>
  <c r="ET147" i="30248"/>
  <c r="EU147" i="30248"/>
  <c r="EV147" i="30248"/>
  <c r="EW147" i="30248"/>
  <c r="EX147" i="30248"/>
  <c r="EY147" i="30248"/>
  <c r="EZ147" i="30248"/>
  <c r="ES147" i="30248"/>
  <c r="ES146" i="30248"/>
  <c r="ET145" i="30248"/>
  <c r="ET141" i="30248" s="1"/>
  <c r="EU145" i="30248"/>
  <c r="EU141" i="30248" s="1"/>
  <c r="EV145" i="30248"/>
  <c r="EV141" i="30248" s="1"/>
  <c r="EW145" i="30248"/>
  <c r="EW141" i="30248" s="1"/>
  <c r="EX145" i="30248"/>
  <c r="EX141" i="30248" s="1"/>
  <c r="EY145" i="30248"/>
  <c r="EY141" i="30248" s="1"/>
  <c r="EZ145" i="30248"/>
  <c r="EZ141" i="30248" s="1"/>
  <c r="ES145" i="30248"/>
  <c r="ES141" i="30248" s="1"/>
  <c r="EL147" i="30248"/>
  <c r="EM147" i="30248"/>
  <c r="EK147" i="30248"/>
  <c r="EL146" i="30248"/>
  <c r="EM146" i="30248"/>
  <c r="EK146" i="30248"/>
  <c r="FE141" i="30248"/>
  <c r="FD141" i="30248"/>
  <c r="FC141" i="30248"/>
  <c r="FB141" i="30248"/>
  <c r="FA141" i="30248"/>
  <c r="EL141" i="30248"/>
  <c r="EM141" i="30248"/>
  <c r="EK141" i="30248"/>
  <c r="BW141" i="30248"/>
  <c r="BT141" i="30248"/>
  <c r="ET138" i="30248"/>
  <c r="EU138" i="30248"/>
  <c r="EV138" i="30248"/>
  <c r="EW138" i="30248"/>
  <c r="EX138" i="30248"/>
  <c r="EY138" i="30248"/>
  <c r="ES138" i="30248"/>
  <c r="EL138" i="30248"/>
  <c r="EM138" i="30248"/>
  <c r="EK138" i="30248"/>
  <c r="BW139" i="30248"/>
  <c r="BT139" i="30248"/>
  <c r="BT138" i="30248"/>
  <c r="BW138" i="30248"/>
  <c r="EE139" i="30248"/>
  <c r="ET139" i="30248"/>
  <c r="EU139" i="30248"/>
  <c r="EV139" i="30248"/>
  <c r="EW139" i="30248"/>
  <c r="EX139" i="30248"/>
  <c r="EY139" i="30248"/>
  <c r="EZ139" i="30248"/>
  <c r="ES139" i="30248"/>
  <c r="EL139" i="30248"/>
  <c r="EM139" i="30248"/>
  <c r="EK139" i="30248"/>
  <c r="DD175" i="30248"/>
  <c r="DE175" i="30248" s="1"/>
  <c r="CW175" i="30248"/>
  <c r="CH175" i="30248"/>
  <c r="FK170" i="30248"/>
  <c r="FK171" i="30248"/>
  <c r="FK169" i="30248"/>
  <c r="FK111" i="30248"/>
  <c r="FK108" i="30248"/>
  <c r="FK107" i="30248"/>
  <c r="FK106" i="30248"/>
  <c r="FK105" i="30248"/>
  <c r="FK103" i="30248"/>
  <c r="FK102" i="30248"/>
  <c r="FK101" i="30248"/>
  <c r="FK100" i="30248"/>
  <c r="FK99" i="30248"/>
  <c r="FK96" i="30248"/>
  <c r="FK95" i="30248"/>
  <c r="FK94" i="30248"/>
  <c r="FK93" i="30248"/>
  <c r="FK92" i="30248"/>
  <c r="FK91" i="30248"/>
  <c r="FK85" i="30248"/>
  <c r="FK84" i="30248"/>
  <c r="FK83" i="30248"/>
  <c r="FK82" i="30248"/>
  <c r="FK81" i="30248"/>
  <c r="FK80" i="30248"/>
  <c r="FK79" i="30248"/>
  <c r="FK177" i="30248" s="1"/>
  <c r="FK78" i="30248"/>
  <c r="FK77" i="30248"/>
  <c r="FK76" i="30248"/>
  <c r="FK75" i="30248"/>
  <c r="FK74" i="30248"/>
  <c r="FK72" i="30248"/>
  <c r="FK71" i="30248"/>
  <c r="FK70" i="30248"/>
  <c r="FK9" i="30248" s="1"/>
  <c r="FK33" i="30248"/>
  <c r="FK32" i="30248"/>
  <c r="FK31" i="30248"/>
  <c r="FK30" i="30248"/>
  <c r="FK29" i="30248"/>
  <c r="FK28" i="30248"/>
  <c r="FK27" i="30248"/>
  <c r="FK24" i="30248"/>
  <c r="FK8" i="30248" s="1"/>
  <c r="FK13" i="30248"/>
  <c r="FK12" i="30248"/>
  <c r="EH29" i="30248"/>
  <c r="EH30" i="30248"/>
  <c r="EH171" i="30248"/>
  <c r="EC171" i="30248"/>
  <c r="DZ171" i="30248"/>
  <c r="DY171" i="30248"/>
  <c r="DR171" i="30248"/>
  <c r="DQ171" i="30248"/>
  <c r="AW171" i="30248"/>
  <c r="DP171" i="30248" s="1"/>
  <c r="AL171" i="30248"/>
  <c r="DD171" i="30248" s="1"/>
  <c r="AH171" i="30248"/>
  <c r="CY171" i="30248" s="1"/>
  <c r="AG171" i="30248"/>
  <c r="CX171" i="30248" s="1"/>
  <c r="AF171" i="30248"/>
  <c r="CW171" i="30248" s="1"/>
  <c r="Q171" i="30248"/>
  <c r="EH170" i="30248"/>
  <c r="EC170" i="30248"/>
  <c r="DZ170" i="30248"/>
  <c r="DY170" i="30248"/>
  <c r="DR170" i="30248"/>
  <c r="DQ170" i="30248"/>
  <c r="AG170" i="30248"/>
  <c r="CX170" i="30248" s="1"/>
  <c r="AF170" i="30248"/>
  <c r="CW170" i="30248" s="1"/>
  <c r="AW170" i="30248"/>
  <c r="DP170" i="30248" s="1"/>
  <c r="AL170" i="30248"/>
  <c r="DD170" i="30248" s="1"/>
  <c r="AH170" i="30248"/>
  <c r="CY170" i="30248" s="1"/>
  <c r="EI169" i="30248"/>
  <c r="EH169" i="30248"/>
  <c r="EC169" i="30248"/>
  <c r="DZ169" i="30248"/>
  <c r="DY169" i="30248"/>
  <c r="DR169" i="30248"/>
  <c r="DQ169" i="30248"/>
  <c r="DH169" i="30248"/>
  <c r="DG169" i="30248"/>
  <c r="DF169" i="30248"/>
  <c r="DD169" i="30248"/>
  <c r="DE169" i="30248" s="1"/>
  <c r="DC169" i="30248"/>
  <c r="DB169" i="30248"/>
  <c r="DA169" i="30248"/>
  <c r="CZ169" i="30248"/>
  <c r="FQ169" i="30248" s="1"/>
  <c r="CY169" i="30248"/>
  <c r="CX169" i="30248"/>
  <c r="CW169" i="30248"/>
  <c r="Q169" i="30248"/>
  <c r="CW167" i="30248"/>
  <c r="CX167" i="30248"/>
  <c r="CY167" i="30248"/>
  <c r="CZ167" i="30248"/>
  <c r="FQ167" i="30248" s="1"/>
  <c r="DA167" i="30248"/>
  <c r="DB167" i="30248"/>
  <c r="DC167" i="30248"/>
  <c r="DD167" i="30248"/>
  <c r="DE167" i="30248" s="1"/>
  <c r="DF167" i="30248"/>
  <c r="DG167" i="30248"/>
  <c r="DH167" i="30248"/>
  <c r="DQ167" i="30248"/>
  <c r="DR167" i="30248"/>
  <c r="CW168" i="30248"/>
  <c r="CX168" i="30248"/>
  <c r="CY168" i="30248"/>
  <c r="CZ168" i="30248"/>
  <c r="FQ168" i="30248" s="1"/>
  <c r="DA168" i="30248"/>
  <c r="DB168" i="30248"/>
  <c r="DC168" i="30248"/>
  <c r="DD168" i="30248"/>
  <c r="DE168" i="30248" s="1"/>
  <c r="DF168" i="30248"/>
  <c r="DG168" i="30248"/>
  <c r="DH168" i="30248"/>
  <c r="DQ168" i="30248"/>
  <c r="DR168" i="30248"/>
  <c r="AK55" i="30248"/>
  <c r="DC55" i="30248" s="1"/>
  <c r="DW8" i="30248"/>
  <c r="DQ10" i="30248"/>
  <c r="DQ11" i="30248"/>
  <c r="DQ12" i="30248"/>
  <c r="DQ13" i="30248"/>
  <c r="DQ14" i="30248"/>
  <c r="DQ15" i="30248"/>
  <c r="DQ16" i="30248"/>
  <c r="DQ17" i="30248"/>
  <c r="DQ18" i="30248"/>
  <c r="DQ19" i="30248"/>
  <c r="DQ20" i="30248"/>
  <c r="DQ21" i="30248"/>
  <c r="DQ22" i="30248"/>
  <c r="DQ23" i="30248"/>
  <c r="DQ24" i="30248"/>
  <c r="DQ8" i="30248" s="1"/>
  <c r="DQ25" i="30248"/>
  <c r="DQ26" i="30248"/>
  <c r="DQ27" i="30248"/>
  <c r="DQ28" i="30248"/>
  <c r="DQ29" i="30248"/>
  <c r="DQ30" i="30248"/>
  <c r="DQ31" i="30248"/>
  <c r="DQ32" i="30248"/>
  <c r="DQ33" i="30248"/>
  <c r="DQ34" i="30248"/>
  <c r="DQ35" i="30248"/>
  <c r="DQ36" i="30248"/>
  <c r="DQ37" i="30248"/>
  <c r="DQ38" i="30248"/>
  <c r="DQ39" i="30248"/>
  <c r="DQ40" i="30248"/>
  <c r="DQ41" i="30248"/>
  <c r="DQ42" i="30248"/>
  <c r="DQ43" i="30248"/>
  <c r="DQ44" i="30248"/>
  <c r="DQ45" i="30248"/>
  <c r="DQ46" i="30248"/>
  <c r="DQ47" i="30248"/>
  <c r="DQ48" i="30248"/>
  <c r="DQ49" i="30248"/>
  <c r="DQ50" i="30248"/>
  <c r="DQ51" i="30248"/>
  <c r="DQ52" i="30248"/>
  <c r="DQ53" i="30248"/>
  <c r="DQ54" i="30248"/>
  <c r="DQ55" i="30248"/>
  <c r="DQ56" i="30248"/>
  <c r="DQ57" i="30248"/>
  <c r="DQ58" i="30248"/>
  <c r="DQ59" i="30248"/>
  <c r="DQ60" i="30248"/>
  <c r="DQ61" i="30248"/>
  <c r="DQ62" i="30248"/>
  <c r="DQ63" i="30248"/>
  <c r="DQ64" i="30248"/>
  <c r="DQ65" i="30248"/>
  <c r="DQ66" i="30248"/>
  <c r="DQ67" i="30248"/>
  <c r="DQ68" i="30248"/>
  <c r="DQ69" i="30248"/>
  <c r="DQ70" i="30248"/>
  <c r="DQ71" i="30248"/>
  <c r="DQ72" i="30248"/>
  <c r="DQ73" i="30248"/>
  <c r="DQ74" i="30248"/>
  <c r="DQ75" i="30248"/>
  <c r="DQ76" i="30248"/>
  <c r="DQ77" i="30248"/>
  <c r="DQ78" i="30248"/>
  <c r="DQ79" i="30248"/>
  <c r="DQ177" i="30248" s="1"/>
  <c r="DQ80" i="30248"/>
  <c r="DQ81" i="30248"/>
  <c r="DQ82" i="30248"/>
  <c r="DQ83" i="30248"/>
  <c r="DQ84" i="30248"/>
  <c r="DQ85" i="30248"/>
  <c r="DQ86" i="30248"/>
  <c r="DQ87" i="30248"/>
  <c r="DQ88" i="30248"/>
  <c r="DQ89" i="30248"/>
  <c r="DQ90" i="30248"/>
  <c r="DQ91" i="30248"/>
  <c r="DQ92" i="30248"/>
  <c r="DQ93" i="30248"/>
  <c r="DQ94" i="30248"/>
  <c r="DQ95" i="30248"/>
  <c r="DQ96" i="30248"/>
  <c r="DQ97" i="30248"/>
  <c r="DQ98" i="30248"/>
  <c r="DQ99" i="30248"/>
  <c r="DQ100" i="30248"/>
  <c r="DQ101" i="30248"/>
  <c r="DQ102" i="30248"/>
  <c r="DQ103" i="30248"/>
  <c r="DQ104" i="30248"/>
  <c r="DQ105" i="30248"/>
  <c r="DQ106" i="30248"/>
  <c r="DQ107" i="30248"/>
  <c r="DQ108" i="30248"/>
  <c r="DQ109" i="30248"/>
  <c r="DQ110" i="30248"/>
  <c r="DQ111" i="30248"/>
  <c r="DQ112" i="30248"/>
  <c r="DQ113" i="30248"/>
  <c r="DQ114" i="30248"/>
  <c r="DQ115" i="30248"/>
  <c r="DQ116" i="30248"/>
  <c r="DQ117" i="30248"/>
  <c r="DQ118" i="30248"/>
  <c r="DQ119" i="30248"/>
  <c r="DQ120" i="30248"/>
  <c r="DQ121" i="30248"/>
  <c r="DQ122" i="30248"/>
  <c r="DQ123" i="30248"/>
  <c r="DQ124" i="30248"/>
  <c r="DQ125" i="30248"/>
  <c r="DQ126" i="30248"/>
  <c r="DQ127" i="30248"/>
  <c r="DQ128" i="30248"/>
  <c r="DQ129" i="30248"/>
  <c r="DQ131" i="30248"/>
  <c r="DQ132" i="30248"/>
  <c r="DQ133" i="30248"/>
  <c r="DQ134" i="30248"/>
  <c r="DQ135" i="30248"/>
  <c r="DQ136" i="30248"/>
  <c r="DQ137" i="30248"/>
  <c r="DQ138" i="30248"/>
  <c r="DQ139" i="30248"/>
  <c r="DQ140" i="30248"/>
  <c r="DQ141" i="30248"/>
  <c r="DQ142" i="30248"/>
  <c r="DQ143" i="30248"/>
  <c r="DQ144" i="30248"/>
  <c r="DQ145" i="30248"/>
  <c r="DQ146" i="30248"/>
  <c r="DQ147" i="30248"/>
  <c r="DQ148" i="30248"/>
  <c r="DQ149" i="30248"/>
  <c r="DQ150" i="30248"/>
  <c r="DQ151" i="30248"/>
  <c r="DQ152" i="30248"/>
  <c r="DQ153" i="30248"/>
  <c r="DQ154" i="30248"/>
  <c r="DQ155" i="30248"/>
  <c r="DQ156" i="30248"/>
  <c r="DQ157" i="30248"/>
  <c r="DQ158" i="30248"/>
  <c r="DQ159" i="30248"/>
  <c r="DQ160" i="30248"/>
  <c r="DQ161" i="30248"/>
  <c r="DQ162" i="30248"/>
  <c r="DQ163" i="30248"/>
  <c r="DQ164" i="30248"/>
  <c r="DQ165" i="30248"/>
  <c r="DQ166" i="30248"/>
  <c r="DQ174" i="30248"/>
  <c r="DQ179" i="30248"/>
  <c r="DQ180" i="30248"/>
  <c r="DQ181" i="30248"/>
  <c r="DQ182" i="30248"/>
  <c r="DQ183" i="30248"/>
  <c r="DQ184" i="30248"/>
  <c r="DQ130" i="30248"/>
  <c r="DR174" i="30248"/>
  <c r="DR179" i="30248"/>
  <c r="DR180" i="30248"/>
  <c r="DR181" i="30248"/>
  <c r="DR182" i="30248"/>
  <c r="DR183" i="30248"/>
  <c r="DR184" i="30248"/>
  <c r="DR11" i="30248"/>
  <c r="DR12" i="30248"/>
  <c r="DR13" i="30248"/>
  <c r="DR14" i="30248"/>
  <c r="DR15" i="30248"/>
  <c r="DR16" i="30248"/>
  <c r="DR17" i="30248"/>
  <c r="DR18" i="30248"/>
  <c r="DR19" i="30248"/>
  <c r="DR20" i="30248"/>
  <c r="DR21" i="30248"/>
  <c r="DR22" i="30248"/>
  <c r="DR23" i="30248"/>
  <c r="DR24" i="30248"/>
  <c r="DR8" i="30248" s="1"/>
  <c r="DR25" i="30248"/>
  <c r="DR26" i="30248"/>
  <c r="DR27" i="30248"/>
  <c r="DR28" i="30248"/>
  <c r="DR29" i="30248"/>
  <c r="DR30" i="30248"/>
  <c r="DR31" i="30248"/>
  <c r="DR32" i="30248"/>
  <c r="DR33" i="30248"/>
  <c r="DR34" i="30248"/>
  <c r="DR35" i="30248"/>
  <c r="DR36" i="30248"/>
  <c r="DR37" i="30248"/>
  <c r="DR38" i="30248"/>
  <c r="DR39" i="30248"/>
  <c r="DR40" i="30248"/>
  <c r="DR41" i="30248"/>
  <c r="DR42" i="30248"/>
  <c r="DR43" i="30248"/>
  <c r="DR44" i="30248"/>
  <c r="DR45" i="30248"/>
  <c r="DR46" i="30248"/>
  <c r="DR47" i="30248"/>
  <c r="DR48" i="30248"/>
  <c r="DR49" i="30248"/>
  <c r="DR50" i="30248"/>
  <c r="DR51" i="30248"/>
  <c r="DR52" i="30248"/>
  <c r="DR53" i="30248"/>
  <c r="DR54" i="30248"/>
  <c r="DR55" i="30248"/>
  <c r="DR56" i="30248"/>
  <c r="DR57" i="30248"/>
  <c r="DR58" i="30248"/>
  <c r="DR59" i="30248"/>
  <c r="DR60" i="30248"/>
  <c r="DR61" i="30248"/>
  <c r="DR62" i="30248"/>
  <c r="DR63" i="30248"/>
  <c r="DR64" i="30248"/>
  <c r="DR65" i="30248"/>
  <c r="DR66" i="30248"/>
  <c r="DR67" i="30248"/>
  <c r="DR68" i="30248"/>
  <c r="DR69" i="30248"/>
  <c r="DR70" i="30248"/>
  <c r="DR9" i="30248" s="1"/>
  <c r="DR71" i="30248"/>
  <c r="DR72" i="30248"/>
  <c r="DR73" i="30248"/>
  <c r="DR74" i="30248"/>
  <c r="DR75" i="30248"/>
  <c r="DR76" i="30248"/>
  <c r="DR77" i="30248"/>
  <c r="DR78" i="30248"/>
  <c r="DR79" i="30248"/>
  <c r="DR177" i="30248" s="1"/>
  <c r="DR80" i="30248"/>
  <c r="DR81" i="30248"/>
  <c r="DR82" i="30248"/>
  <c r="DR83" i="30248"/>
  <c r="DR84" i="30248"/>
  <c r="DR85" i="30248"/>
  <c r="DR86" i="30248"/>
  <c r="DR87" i="30248"/>
  <c r="DR88" i="30248"/>
  <c r="DR89" i="30248"/>
  <c r="DR90" i="30248"/>
  <c r="DR91" i="30248"/>
  <c r="DR92" i="30248"/>
  <c r="DR93" i="30248"/>
  <c r="DR94" i="30248"/>
  <c r="DR95" i="30248"/>
  <c r="DR96" i="30248"/>
  <c r="DR97" i="30248"/>
  <c r="DR98" i="30248"/>
  <c r="DR99" i="30248"/>
  <c r="DR100" i="30248"/>
  <c r="DR101" i="30248"/>
  <c r="DR102" i="30248"/>
  <c r="DR103" i="30248"/>
  <c r="DR104" i="30248"/>
  <c r="DR105" i="30248"/>
  <c r="DR106" i="30248"/>
  <c r="DR107" i="30248"/>
  <c r="DR108" i="30248"/>
  <c r="DR109" i="30248"/>
  <c r="DR110" i="30248"/>
  <c r="DR111" i="30248"/>
  <c r="DR112" i="30248"/>
  <c r="DR113" i="30248"/>
  <c r="DR114" i="30248"/>
  <c r="DR115" i="30248"/>
  <c r="DR116" i="30248"/>
  <c r="DR117" i="30248"/>
  <c r="DR118" i="30248"/>
  <c r="DR119" i="30248"/>
  <c r="DR120" i="30248"/>
  <c r="DR121" i="30248"/>
  <c r="DR122" i="30248"/>
  <c r="DR123" i="30248"/>
  <c r="DR124" i="30248"/>
  <c r="DR125" i="30248"/>
  <c r="DR126" i="30248"/>
  <c r="DR127" i="30248"/>
  <c r="DR128" i="30248"/>
  <c r="DR129" i="30248"/>
  <c r="DR130" i="30248"/>
  <c r="DR131" i="30248"/>
  <c r="DR132" i="30248"/>
  <c r="DR133" i="30248"/>
  <c r="DR134" i="30248"/>
  <c r="DR135" i="30248"/>
  <c r="DR136" i="30248"/>
  <c r="DR137" i="30248"/>
  <c r="DR138" i="30248"/>
  <c r="DR139" i="30248"/>
  <c r="DR140" i="30248"/>
  <c r="DR141" i="30248"/>
  <c r="DR142" i="30248"/>
  <c r="DR143" i="30248"/>
  <c r="DR144" i="30248"/>
  <c r="DR145" i="30248"/>
  <c r="DR146" i="30248"/>
  <c r="DR147" i="30248"/>
  <c r="DR148" i="30248"/>
  <c r="DR149" i="30248"/>
  <c r="DR150" i="30248"/>
  <c r="DR151" i="30248"/>
  <c r="DR152" i="30248"/>
  <c r="DR153" i="30248"/>
  <c r="DR154" i="30248"/>
  <c r="DR155" i="30248"/>
  <c r="DR156" i="30248"/>
  <c r="DR157" i="30248"/>
  <c r="DR158" i="30248"/>
  <c r="DR159" i="30248"/>
  <c r="DR160" i="30248"/>
  <c r="DR161" i="30248"/>
  <c r="DR162" i="30248"/>
  <c r="DR163" i="30248"/>
  <c r="DR164" i="30248"/>
  <c r="DR165" i="30248"/>
  <c r="DR166" i="30248"/>
  <c r="EC29" i="30248"/>
  <c r="DF11" i="30248"/>
  <c r="DG11" i="30248"/>
  <c r="DH11" i="30248"/>
  <c r="DF12" i="30248"/>
  <c r="DG12" i="30248"/>
  <c r="DH12" i="30248"/>
  <c r="DF13" i="30248"/>
  <c r="DG13" i="30248"/>
  <c r="DH13" i="30248"/>
  <c r="DF14" i="30248"/>
  <c r="DG14" i="30248"/>
  <c r="DH14" i="30248"/>
  <c r="DF15" i="30248"/>
  <c r="DG15" i="30248"/>
  <c r="DH15" i="30248"/>
  <c r="DF16" i="30248"/>
  <c r="DG16" i="30248"/>
  <c r="DH16" i="30248"/>
  <c r="DF17" i="30248"/>
  <c r="DG17" i="30248"/>
  <c r="DH17" i="30248"/>
  <c r="DF18" i="30248"/>
  <c r="DG18" i="30248"/>
  <c r="DH18" i="30248"/>
  <c r="DF19" i="30248"/>
  <c r="DG19" i="30248"/>
  <c r="DH19" i="30248"/>
  <c r="DF20" i="30248"/>
  <c r="DG20" i="30248"/>
  <c r="DH20" i="30248"/>
  <c r="DF21" i="30248"/>
  <c r="DG21" i="30248"/>
  <c r="DH21" i="30248"/>
  <c r="DF22" i="30248"/>
  <c r="DG22" i="30248"/>
  <c r="DH22" i="30248"/>
  <c r="DF23" i="30248"/>
  <c r="DG23" i="30248"/>
  <c r="DH23" i="30248"/>
  <c r="DF24" i="30248"/>
  <c r="DG24" i="30248"/>
  <c r="DH24" i="30248"/>
  <c r="DF25" i="30248"/>
  <c r="DG25" i="30248"/>
  <c r="DH25" i="30248"/>
  <c r="DF26" i="30248"/>
  <c r="DG26" i="30248"/>
  <c r="DH26" i="30248"/>
  <c r="DF27" i="30248"/>
  <c r="DG27" i="30248"/>
  <c r="DH27" i="30248"/>
  <c r="DF28" i="30248"/>
  <c r="DG28" i="30248"/>
  <c r="DH28" i="30248"/>
  <c r="DF29" i="30248"/>
  <c r="DG29" i="30248"/>
  <c r="DH29" i="30248"/>
  <c r="DF30" i="30248"/>
  <c r="DG30" i="30248"/>
  <c r="DH30" i="30248"/>
  <c r="DF31" i="30248"/>
  <c r="DG31" i="30248"/>
  <c r="DH31" i="30248"/>
  <c r="DF32" i="30248"/>
  <c r="DG32" i="30248"/>
  <c r="DH32" i="30248"/>
  <c r="DF33" i="30248"/>
  <c r="DG33" i="30248"/>
  <c r="DH33" i="30248"/>
  <c r="DF34" i="30248"/>
  <c r="DG34" i="30248"/>
  <c r="DH34" i="30248"/>
  <c r="DF35" i="30248"/>
  <c r="DG35" i="30248"/>
  <c r="DH35" i="30248"/>
  <c r="DF36" i="30248"/>
  <c r="DG36" i="30248"/>
  <c r="DH36" i="30248"/>
  <c r="DF37" i="30248"/>
  <c r="DG37" i="30248"/>
  <c r="DH37" i="30248"/>
  <c r="DF38" i="30248"/>
  <c r="DG38" i="30248"/>
  <c r="DH38" i="30248"/>
  <c r="DF39" i="30248"/>
  <c r="DG39" i="30248"/>
  <c r="DH39" i="30248"/>
  <c r="DF40" i="30248"/>
  <c r="DG40" i="30248"/>
  <c r="DH40" i="30248"/>
  <c r="DF41" i="30248"/>
  <c r="DG41" i="30248"/>
  <c r="DH41" i="30248"/>
  <c r="DF42" i="30248"/>
  <c r="DG42" i="30248"/>
  <c r="DH42" i="30248"/>
  <c r="DF43" i="30248"/>
  <c r="DG43" i="30248"/>
  <c r="DH43" i="30248"/>
  <c r="DF44" i="30248"/>
  <c r="DG44" i="30248"/>
  <c r="DH44" i="30248"/>
  <c r="DF45" i="30248"/>
  <c r="DG45" i="30248"/>
  <c r="DH45" i="30248"/>
  <c r="DF46" i="30248"/>
  <c r="DG46" i="30248"/>
  <c r="DH46" i="30248"/>
  <c r="DF47" i="30248"/>
  <c r="DG47" i="30248"/>
  <c r="DH47" i="30248"/>
  <c r="DF48" i="30248"/>
  <c r="DG48" i="30248"/>
  <c r="DH48" i="30248"/>
  <c r="DF49" i="30248"/>
  <c r="DG49" i="30248"/>
  <c r="DH49" i="30248"/>
  <c r="DF51" i="30248"/>
  <c r="DG51" i="30248"/>
  <c r="DH51" i="30248"/>
  <c r="DF52" i="30248"/>
  <c r="DG52" i="30248"/>
  <c r="DH52" i="30248"/>
  <c r="DF53" i="30248"/>
  <c r="DG53" i="30248"/>
  <c r="DH53" i="30248"/>
  <c r="DF54" i="30248"/>
  <c r="DG54" i="30248"/>
  <c r="DH54" i="30248"/>
  <c r="DF55" i="30248"/>
  <c r="DG55" i="30248"/>
  <c r="DH55" i="30248"/>
  <c r="DF56" i="30248"/>
  <c r="DG56" i="30248"/>
  <c r="DH56" i="30248"/>
  <c r="DF57" i="30248"/>
  <c r="DG57" i="30248"/>
  <c r="DH57" i="30248"/>
  <c r="DF58" i="30248"/>
  <c r="DG58" i="30248"/>
  <c r="DH58" i="30248"/>
  <c r="DF59" i="30248"/>
  <c r="DG59" i="30248"/>
  <c r="DH59" i="30248"/>
  <c r="DF60" i="30248"/>
  <c r="DG60" i="30248"/>
  <c r="DH60" i="30248"/>
  <c r="DF61" i="30248"/>
  <c r="DG61" i="30248"/>
  <c r="DH61" i="30248"/>
  <c r="DF62" i="30248"/>
  <c r="DG62" i="30248"/>
  <c r="DH62" i="30248"/>
  <c r="DF63" i="30248"/>
  <c r="DG63" i="30248"/>
  <c r="DH63" i="30248"/>
  <c r="DF64" i="30248"/>
  <c r="DG64" i="30248"/>
  <c r="DH64" i="30248"/>
  <c r="DF65" i="30248"/>
  <c r="DG65" i="30248"/>
  <c r="DH65" i="30248"/>
  <c r="DF66" i="30248"/>
  <c r="DG66" i="30248"/>
  <c r="DH66" i="30248"/>
  <c r="DF67" i="30248"/>
  <c r="DG67" i="30248"/>
  <c r="DH67" i="30248"/>
  <c r="DF68" i="30248"/>
  <c r="DG68" i="30248"/>
  <c r="DH68" i="30248"/>
  <c r="DF69" i="30248"/>
  <c r="DG69" i="30248"/>
  <c r="DH69" i="30248"/>
  <c r="DF70" i="30248"/>
  <c r="DG70" i="30248"/>
  <c r="DH70" i="30248"/>
  <c r="DF71" i="30248"/>
  <c r="DG71" i="30248"/>
  <c r="DH71" i="30248"/>
  <c r="DF72" i="30248"/>
  <c r="DG72" i="30248"/>
  <c r="DH72" i="30248"/>
  <c r="DF73" i="30248"/>
  <c r="DG73" i="30248"/>
  <c r="DH73" i="30248"/>
  <c r="DF74" i="30248"/>
  <c r="DG74" i="30248"/>
  <c r="DH74" i="30248"/>
  <c r="DF75" i="30248"/>
  <c r="DG75" i="30248"/>
  <c r="DH75" i="30248"/>
  <c r="DF76" i="30248"/>
  <c r="DG76" i="30248"/>
  <c r="DH76" i="30248"/>
  <c r="DF77" i="30248"/>
  <c r="DG77" i="30248"/>
  <c r="DH77" i="30248"/>
  <c r="DF78" i="30248"/>
  <c r="DG78" i="30248"/>
  <c r="DH78" i="30248"/>
  <c r="DF79" i="30248"/>
  <c r="DF177" i="30248" s="1"/>
  <c r="DG79" i="30248"/>
  <c r="DH79" i="30248"/>
  <c r="DF80" i="30248"/>
  <c r="DG80" i="30248"/>
  <c r="DH80" i="30248"/>
  <c r="DF81" i="30248"/>
  <c r="DG81" i="30248"/>
  <c r="DH81" i="30248"/>
  <c r="DF82" i="30248"/>
  <c r="DG82" i="30248"/>
  <c r="DH82" i="30248"/>
  <c r="DF83" i="30248"/>
  <c r="DG83" i="30248"/>
  <c r="DH83" i="30248"/>
  <c r="DF84" i="30248"/>
  <c r="DG84" i="30248"/>
  <c r="DH84" i="30248"/>
  <c r="DF85" i="30248"/>
  <c r="DG85" i="30248"/>
  <c r="DH85" i="30248"/>
  <c r="DF86" i="30248"/>
  <c r="DG86" i="30248"/>
  <c r="DH86" i="30248"/>
  <c r="DF87" i="30248"/>
  <c r="DG87" i="30248"/>
  <c r="DH87" i="30248"/>
  <c r="DF88" i="30248"/>
  <c r="DG88" i="30248"/>
  <c r="DH88" i="30248"/>
  <c r="DF89" i="30248"/>
  <c r="DG89" i="30248"/>
  <c r="DH89" i="30248"/>
  <c r="DF90" i="30248"/>
  <c r="DG90" i="30248"/>
  <c r="DH90" i="30248"/>
  <c r="DF91" i="30248"/>
  <c r="DG91" i="30248"/>
  <c r="DH91" i="30248"/>
  <c r="DF92" i="30248"/>
  <c r="DG92" i="30248"/>
  <c r="DH92" i="30248"/>
  <c r="DF93" i="30248"/>
  <c r="DG93" i="30248"/>
  <c r="DH93" i="30248"/>
  <c r="DF94" i="30248"/>
  <c r="DG94" i="30248"/>
  <c r="DH94" i="30248"/>
  <c r="DF95" i="30248"/>
  <c r="DG95" i="30248"/>
  <c r="DH95" i="30248"/>
  <c r="DF96" i="30248"/>
  <c r="DG96" i="30248"/>
  <c r="DH96" i="30248"/>
  <c r="DF97" i="30248"/>
  <c r="DG97" i="30248"/>
  <c r="DH97" i="30248"/>
  <c r="DF98" i="30248"/>
  <c r="DG98" i="30248"/>
  <c r="DH98" i="30248"/>
  <c r="DF99" i="30248"/>
  <c r="DG99" i="30248"/>
  <c r="DH99" i="30248"/>
  <c r="DF100" i="30248"/>
  <c r="DG100" i="30248"/>
  <c r="DH100" i="30248"/>
  <c r="DF101" i="30248"/>
  <c r="DG101" i="30248"/>
  <c r="DH101" i="30248"/>
  <c r="DF102" i="30248"/>
  <c r="DG102" i="30248"/>
  <c r="DH102" i="30248"/>
  <c r="DF103" i="30248"/>
  <c r="DG103" i="30248"/>
  <c r="DH103" i="30248"/>
  <c r="DF104" i="30248"/>
  <c r="DG104" i="30248"/>
  <c r="DH104" i="30248"/>
  <c r="DF105" i="30248"/>
  <c r="DG105" i="30248"/>
  <c r="DH105" i="30248"/>
  <c r="DF106" i="30248"/>
  <c r="DG106" i="30248"/>
  <c r="DH106" i="30248"/>
  <c r="DF107" i="30248"/>
  <c r="DG107" i="30248"/>
  <c r="DH107" i="30248"/>
  <c r="DF108" i="30248"/>
  <c r="DG108" i="30248"/>
  <c r="DH108" i="30248"/>
  <c r="DF109" i="30248"/>
  <c r="DG109" i="30248"/>
  <c r="DH109" i="30248"/>
  <c r="DF110" i="30248"/>
  <c r="DG110" i="30248"/>
  <c r="DH110" i="30248"/>
  <c r="DF111" i="30248"/>
  <c r="DG111" i="30248"/>
  <c r="DH111" i="30248"/>
  <c r="DF112" i="30248"/>
  <c r="DG112" i="30248"/>
  <c r="DH112" i="30248"/>
  <c r="DF113" i="30248"/>
  <c r="DG113" i="30248"/>
  <c r="DH113" i="30248"/>
  <c r="DF114" i="30248"/>
  <c r="DG114" i="30248"/>
  <c r="DH114" i="30248"/>
  <c r="DF115" i="30248"/>
  <c r="DG115" i="30248"/>
  <c r="DH115" i="30248"/>
  <c r="DF116" i="30248"/>
  <c r="DG116" i="30248"/>
  <c r="DH116" i="30248"/>
  <c r="DF117" i="30248"/>
  <c r="DG117" i="30248"/>
  <c r="DH117" i="30248"/>
  <c r="DF118" i="30248"/>
  <c r="DG118" i="30248"/>
  <c r="DH118" i="30248"/>
  <c r="DF119" i="30248"/>
  <c r="DG119" i="30248"/>
  <c r="DH119" i="30248"/>
  <c r="DF120" i="30248"/>
  <c r="DG120" i="30248"/>
  <c r="DH120" i="30248"/>
  <c r="DF121" i="30248"/>
  <c r="DG121" i="30248"/>
  <c r="DH121" i="30248"/>
  <c r="DF122" i="30248"/>
  <c r="DG122" i="30248"/>
  <c r="DH122" i="30248"/>
  <c r="DF123" i="30248"/>
  <c r="DG123" i="30248"/>
  <c r="DH123" i="30248"/>
  <c r="DF124" i="30248"/>
  <c r="DG124" i="30248"/>
  <c r="DH124" i="30248"/>
  <c r="DF125" i="30248"/>
  <c r="DG125" i="30248"/>
  <c r="DH125" i="30248"/>
  <c r="DF126" i="30248"/>
  <c r="DG126" i="30248"/>
  <c r="DH126" i="30248"/>
  <c r="DF127" i="30248"/>
  <c r="DG127" i="30248"/>
  <c r="DH127" i="30248"/>
  <c r="DF128" i="30248"/>
  <c r="DG128" i="30248"/>
  <c r="DH128" i="30248"/>
  <c r="DF129" i="30248"/>
  <c r="DG129" i="30248"/>
  <c r="DH129" i="30248"/>
  <c r="DF130" i="30248"/>
  <c r="DG130" i="30248"/>
  <c r="DH130" i="30248"/>
  <c r="DF131" i="30248"/>
  <c r="DG131" i="30248"/>
  <c r="DH131" i="30248"/>
  <c r="DF132" i="30248"/>
  <c r="DG132" i="30248"/>
  <c r="DH132" i="30248"/>
  <c r="DF133" i="30248"/>
  <c r="DG133" i="30248"/>
  <c r="DH133" i="30248"/>
  <c r="DF134" i="30248"/>
  <c r="DG134" i="30248"/>
  <c r="DH134" i="30248"/>
  <c r="DF135" i="30248"/>
  <c r="DG135" i="30248"/>
  <c r="DH135" i="30248"/>
  <c r="DF136" i="30248"/>
  <c r="DG136" i="30248"/>
  <c r="DH136" i="30248"/>
  <c r="DF137" i="30248"/>
  <c r="DG137" i="30248"/>
  <c r="DH137" i="30248"/>
  <c r="DF138" i="30248"/>
  <c r="DG138" i="30248"/>
  <c r="DH138" i="30248"/>
  <c r="DF139" i="30248"/>
  <c r="DG139" i="30248"/>
  <c r="DH139" i="30248"/>
  <c r="DF140" i="30248"/>
  <c r="DG140" i="30248"/>
  <c r="DH140" i="30248"/>
  <c r="DF141" i="30248"/>
  <c r="DG141" i="30248"/>
  <c r="DH141" i="30248"/>
  <c r="DF142" i="30248"/>
  <c r="DG142" i="30248"/>
  <c r="DH142" i="30248"/>
  <c r="DF143" i="30248"/>
  <c r="DG143" i="30248"/>
  <c r="DH143" i="30248"/>
  <c r="DF144" i="30248"/>
  <c r="DG144" i="30248"/>
  <c r="DH144" i="30248"/>
  <c r="DF145" i="30248"/>
  <c r="DG145" i="30248"/>
  <c r="DH145" i="30248"/>
  <c r="DF146" i="30248"/>
  <c r="DG146" i="30248"/>
  <c r="DH146" i="30248"/>
  <c r="DF147" i="30248"/>
  <c r="DG147" i="30248"/>
  <c r="DH147" i="30248"/>
  <c r="DF148" i="30248"/>
  <c r="DG148" i="30248"/>
  <c r="DH148" i="30248"/>
  <c r="DF149" i="30248"/>
  <c r="DG149" i="30248"/>
  <c r="DH149" i="30248"/>
  <c r="DF150" i="30248"/>
  <c r="DG150" i="30248"/>
  <c r="DH150" i="30248"/>
  <c r="DF151" i="30248"/>
  <c r="DG151" i="30248"/>
  <c r="DH151" i="30248"/>
  <c r="DF152" i="30248"/>
  <c r="DG152" i="30248"/>
  <c r="DH152" i="30248"/>
  <c r="DF153" i="30248"/>
  <c r="DG153" i="30248"/>
  <c r="DH153" i="30248"/>
  <c r="DF154" i="30248"/>
  <c r="DG154" i="30248"/>
  <c r="DH154" i="30248"/>
  <c r="DF155" i="30248"/>
  <c r="DG155" i="30248"/>
  <c r="DH155" i="30248"/>
  <c r="DF156" i="30248"/>
  <c r="DG156" i="30248"/>
  <c r="DH156" i="30248"/>
  <c r="DF157" i="30248"/>
  <c r="DG157" i="30248"/>
  <c r="DH157" i="30248"/>
  <c r="DF158" i="30248"/>
  <c r="DG158" i="30248"/>
  <c r="DH158" i="30248"/>
  <c r="DF159" i="30248"/>
  <c r="DG159" i="30248"/>
  <c r="DH159" i="30248"/>
  <c r="DF160" i="30248"/>
  <c r="DG160" i="30248"/>
  <c r="DH160" i="30248"/>
  <c r="DF161" i="30248"/>
  <c r="DG161" i="30248"/>
  <c r="DH161" i="30248"/>
  <c r="DF162" i="30248"/>
  <c r="DG162" i="30248"/>
  <c r="DH162" i="30248"/>
  <c r="DF163" i="30248"/>
  <c r="DG163" i="30248"/>
  <c r="DH163" i="30248"/>
  <c r="DF164" i="30248"/>
  <c r="DG164" i="30248"/>
  <c r="DH164" i="30248"/>
  <c r="DF165" i="30248"/>
  <c r="DG165" i="30248"/>
  <c r="DH165" i="30248"/>
  <c r="DF166" i="30248"/>
  <c r="DG166" i="30248"/>
  <c r="DH166" i="30248"/>
  <c r="DF173" i="30248"/>
  <c r="DG173" i="30248"/>
  <c r="DF174" i="30248"/>
  <c r="DG174" i="30248"/>
  <c r="DF178" i="30248"/>
  <c r="DG178" i="30248"/>
  <c r="DF179" i="30248"/>
  <c r="DG179" i="30248"/>
  <c r="DF180" i="30248"/>
  <c r="DG180" i="30248"/>
  <c r="DF181" i="30248"/>
  <c r="DG181" i="30248"/>
  <c r="DF182" i="30248"/>
  <c r="DG182" i="30248"/>
  <c r="DF183" i="30248"/>
  <c r="DG183" i="30248"/>
  <c r="DF184" i="30248"/>
  <c r="DG184" i="30248"/>
  <c r="DF185" i="30248"/>
  <c r="DG185" i="30248"/>
  <c r="DF186" i="30248"/>
  <c r="DG186" i="30248"/>
  <c r="DF187" i="30248"/>
  <c r="DG187" i="30248"/>
  <c r="DD10" i="30248"/>
  <c r="DE10" i="30248" s="1"/>
  <c r="DD11" i="30248"/>
  <c r="DE11" i="30248" s="1"/>
  <c r="DD12" i="30248"/>
  <c r="DE12" i="30248" s="1"/>
  <c r="DD13" i="30248"/>
  <c r="DE13" i="30248" s="1"/>
  <c r="DD14" i="30248"/>
  <c r="DE14" i="30248" s="1"/>
  <c r="DD15" i="30248"/>
  <c r="DE15" i="30248" s="1"/>
  <c r="DD16" i="30248"/>
  <c r="DE16" i="30248" s="1"/>
  <c r="DD17" i="30248"/>
  <c r="DE17" i="30248" s="1"/>
  <c r="DD18" i="30248"/>
  <c r="DE18" i="30248" s="1"/>
  <c r="DD19" i="30248"/>
  <c r="DE19" i="30248" s="1"/>
  <c r="DD20" i="30248"/>
  <c r="DE20" i="30248" s="1"/>
  <c r="DD21" i="30248"/>
  <c r="DE21" i="30248" s="1"/>
  <c r="DD22" i="30248"/>
  <c r="DE22" i="30248" s="1"/>
  <c r="DD23" i="30248"/>
  <c r="DE23" i="30248" s="1"/>
  <c r="DD24" i="30248"/>
  <c r="DE24" i="30248" s="1"/>
  <c r="DD25" i="30248"/>
  <c r="DE25" i="30248" s="1"/>
  <c r="DD26" i="30248"/>
  <c r="DE26" i="30248" s="1"/>
  <c r="DD27" i="30248"/>
  <c r="DE27" i="30248" s="1"/>
  <c r="DD28" i="30248"/>
  <c r="DE28" i="30248" s="1"/>
  <c r="DD29" i="30248"/>
  <c r="DE29" i="30248" s="1"/>
  <c r="DD30" i="30248"/>
  <c r="DE30" i="30248" s="1"/>
  <c r="DD31" i="30248"/>
  <c r="DE31" i="30248" s="1"/>
  <c r="DD32" i="30248"/>
  <c r="DE32" i="30248" s="1"/>
  <c r="DD33" i="30248"/>
  <c r="DE33" i="30248" s="1"/>
  <c r="DD34" i="30248"/>
  <c r="DE34" i="30248" s="1"/>
  <c r="DD35" i="30248"/>
  <c r="DE35" i="30248" s="1"/>
  <c r="DD36" i="30248"/>
  <c r="DE36" i="30248" s="1"/>
  <c r="DD37" i="30248"/>
  <c r="DE37" i="30248" s="1"/>
  <c r="DD38" i="30248"/>
  <c r="DE38" i="30248" s="1"/>
  <c r="DD39" i="30248"/>
  <c r="DE39" i="30248" s="1"/>
  <c r="DD40" i="30248"/>
  <c r="DE40" i="30248" s="1"/>
  <c r="DD41" i="30248"/>
  <c r="DE41" i="30248" s="1"/>
  <c r="DD42" i="30248"/>
  <c r="DE42" i="30248" s="1"/>
  <c r="DD43" i="30248"/>
  <c r="DE43" i="30248" s="1"/>
  <c r="DD44" i="30248"/>
  <c r="DE44" i="30248" s="1"/>
  <c r="DD45" i="30248"/>
  <c r="DE45" i="30248" s="1"/>
  <c r="DD46" i="30248"/>
  <c r="DE46" i="30248" s="1"/>
  <c r="DD47" i="30248"/>
  <c r="DE47" i="30248" s="1"/>
  <c r="DD48" i="30248"/>
  <c r="DE48" i="30248" s="1"/>
  <c r="DD49" i="30248"/>
  <c r="DE49" i="30248" s="1"/>
  <c r="DD51" i="30248"/>
  <c r="DE51" i="30248" s="1"/>
  <c r="DD52" i="30248"/>
  <c r="DE52" i="30248" s="1"/>
  <c r="DD53" i="30248"/>
  <c r="DE53" i="30248" s="1"/>
  <c r="DD54" i="30248"/>
  <c r="DE54" i="30248" s="1"/>
  <c r="DD55" i="30248"/>
  <c r="DE55" i="30248" s="1"/>
  <c r="DD56" i="30248"/>
  <c r="DE56" i="30248" s="1"/>
  <c r="DD57" i="30248"/>
  <c r="DE57" i="30248" s="1"/>
  <c r="DD58" i="30248"/>
  <c r="DE58" i="30248" s="1"/>
  <c r="DD59" i="30248"/>
  <c r="DE59" i="30248" s="1"/>
  <c r="DD60" i="30248"/>
  <c r="DE60" i="30248" s="1"/>
  <c r="DD61" i="30248"/>
  <c r="DE61" i="30248" s="1"/>
  <c r="DD62" i="30248"/>
  <c r="DE62" i="30248" s="1"/>
  <c r="DD63" i="30248"/>
  <c r="DE63" i="30248" s="1"/>
  <c r="DD64" i="30248"/>
  <c r="DE64" i="30248" s="1"/>
  <c r="DD65" i="30248"/>
  <c r="DE65" i="30248" s="1"/>
  <c r="DD66" i="30248"/>
  <c r="DE66" i="30248" s="1"/>
  <c r="DD67" i="30248"/>
  <c r="DE67" i="30248" s="1"/>
  <c r="DD68" i="30248"/>
  <c r="DE68" i="30248" s="1"/>
  <c r="DD69" i="30248"/>
  <c r="DE69" i="30248" s="1"/>
  <c r="DD70" i="30248"/>
  <c r="DE70" i="30248" s="1"/>
  <c r="DD71" i="30248"/>
  <c r="DE71" i="30248" s="1"/>
  <c r="DD72" i="30248"/>
  <c r="DE72" i="30248" s="1"/>
  <c r="DD73" i="30248"/>
  <c r="DE73" i="30248" s="1"/>
  <c r="DD74" i="30248"/>
  <c r="DE74" i="30248" s="1"/>
  <c r="DD75" i="30248"/>
  <c r="DE75" i="30248" s="1"/>
  <c r="DD76" i="30248"/>
  <c r="DE76" i="30248" s="1"/>
  <c r="DD77" i="30248"/>
  <c r="DE77" i="30248" s="1"/>
  <c r="DD78" i="30248"/>
  <c r="DE78" i="30248" s="1"/>
  <c r="DD79" i="30248"/>
  <c r="DD80" i="30248"/>
  <c r="DE80" i="30248" s="1"/>
  <c r="DD81" i="30248"/>
  <c r="DE81" i="30248" s="1"/>
  <c r="DD82" i="30248"/>
  <c r="DE82" i="30248" s="1"/>
  <c r="DD83" i="30248"/>
  <c r="DE83" i="30248" s="1"/>
  <c r="DD84" i="30248"/>
  <c r="DE84" i="30248" s="1"/>
  <c r="DD85" i="30248"/>
  <c r="DE85" i="30248" s="1"/>
  <c r="DD86" i="30248"/>
  <c r="DE86" i="30248" s="1"/>
  <c r="DD87" i="30248"/>
  <c r="DE87" i="30248" s="1"/>
  <c r="DD88" i="30248"/>
  <c r="DE88" i="30248" s="1"/>
  <c r="DD89" i="30248"/>
  <c r="DE89" i="30248" s="1"/>
  <c r="DD90" i="30248"/>
  <c r="DE90" i="30248" s="1"/>
  <c r="DD91" i="30248"/>
  <c r="DE91" i="30248" s="1"/>
  <c r="DD92" i="30248"/>
  <c r="DE92" i="30248" s="1"/>
  <c r="DD93" i="30248"/>
  <c r="DE93" i="30248" s="1"/>
  <c r="DD94" i="30248"/>
  <c r="DE94" i="30248" s="1"/>
  <c r="DD95" i="30248"/>
  <c r="DE95" i="30248" s="1"/>
  <c r="DD96" i="30248"/>
  <c r="DE96" i="30248" s="1"/>
  <c r="DD97" i="30248"/>
  <c r="DE97" i="30248" s="1"/>
  <c r="DD98" i="30248"/>
  <c r="DE98" i="30248" s="1"/>
  <c r="DD99" i="30248"/>
  <c r="DE99" i="30248" s="1"/>
  <c r="DD100" i="30248"/>
  <c r="DE100" i="30248" s="1"/>
  <c r="DD101" i="30248"/>
  <c r="DE101" i="30248" s="1"/>
  <c r="DD102" i="30248"/>
  <c r="DE102" i="30248" s="1"/>
  <c r="DD103" i="30248"/>
  <c r="DE103" i="30248" s="1"/>
  <c r="DD104" i="30248"/>
  <c r="DE104" i="30248" s="1"/>
  <c r="DD105" i="30248"/>
  <c r="DE105" i="30248" s="1"/>
  <c r="DD106" i="30248"/>
  <c r="DE106" i="30248" s="1"/>
  <c r="DD107" i="30248"/>
  <c r="DE107" i="30248" s="1"/>
  <c r="DD108" i="30248"/>
  <c r="DE108" i="30248" s="1"/>
  <c r="DD109" i="30248"/>
  <c r="DE109" i="30248" s="1"/>
  <c r="DD110" i="30248"/>
  <c r="DE110" i="30248" s="1"/>
  <c r="DD111" i="30248"/>
  <c r="DE111" i="30248" s="1"/>
  <c r="DD112" i="30248"/>
  <c r="DE112" i="30248" s="1"/>
  <c r="DD113" i="30248"/>
  <c r="DE113" i="30248" s="1"/>
  <c r="DD114" i="30248"/>
  <c r="DE114" i="30248" s="1"/>
  <c r="DD115" i="30248"/>
  <c r="DE115" i="30248" s="1"/>
  <c r="DD116" i="30248"/>
  <c r="DE116" i="30248" s="1"/>
  <c r="DD117" i="30248"/>
  <c r="DE117" i="30248" s="1"/>
  <c r="DD118" i="30248"/>
  <c r="DE118" i="30248" s="1"/>
  <c r="DD119" i="30248"/>
  <c r="DE119" i="30248" s="1"/>
  <c r="DD120" i="30248"/>
  <c r="DE120" i="30248" s="1"/>
  <c r="DD121" i="30248"/>
  <c r="DE121" i="30248" s="1"/>
  <c r="DD122" i="30248"/>
  <c r="DE122" i="30248" s="1"/>
  <c r="DD123" i="30248"/>
  <c r="DE123" i="30248" s="1"/>
  <c r="DD124" i="30248"/>
  <c r="DE124" i="30248" s="1"/>
  <c r="DD125" i="30248"/>
  <c r="DE125" i="30248" s="1"/>
  <c r="DD126" i="30248"/>
  <c r="DE126" i="30248" s="1"/>
  <c r="DD127" i="30248"/>
  <c r="DE127" i="30248" s="1"/>
  <c r="DD128" i="30248"/>
  <c r="DE128" i="30248" s="1"/>
  <c r="DD129" i="30248"/>
  <c r="DE129" i="30248" s="1"/>
  <c r="DD130" i="30248"/>
  <c r="DE130" i="30248" s="1"/>
  <c r="DD131" i="30248"/>
  <c r="DE131" i="30248" s="1"/>
  <c r="DD132" i="30248"/>
  <c r="DE132" i="30248" s="1"/>
  <c r="DD133" i="30248"/>
  <c r="DE133" i="30248" s="1"/>
  <c r="DD134" i="30248"/>
  <c r="DE134" i="30248" s="1"/>
  <c r="DD135" i="30248"/>
  <c r="DE135" i="30248" s="1"/>
  <c r="DD136" i="30248"/>
  <c r="DE136" i="30248" s="1"/>
  <c r="DD137" i="30248"/>
  <c r="DE137" i="30248" s="1"/>
  <c r="DD138" i="30248"/>
  <c r="DE138" i="30248" s="1"/>
  <c r="DD139" i="30248"/>
  <c r="DE139" i="30248" s="1"/>
  <c r="DD140" i="30248"/>
  <c r="DE140" i="30248" s="1"/>
  <c r="DD141" i="30248"/>
  <c r="DE141" i="30248" s="1"/>
  <c r="DD142" i="30248"/>
  <c r="DE142" i="30248" s="1"/>
  <c r="DD143" i="30248"/>
  <c r="DE143" i="30248" s="1"/>
  <c r="DD144" i="30248"/>
  <c r="DE144" i="30248" s="1"/>
  <c r="DD145" i="30248"/>
  <c r="DE145" i="30248" s="1"/>
  <c r="DD146" i="30248"/>
  <c r="DE146" i="30248" s="1"/>
  <c r="DD147" i="30248"/>
  <c r="DE147" i="30248" s="1"/>
  <c r="DD148" i="30248"/>
  <c r="DE148" i="30248" s="1"/>
  <c r="DD149" i="30248"/>
  <c r="DE149" i="30248" s="1"/>
  <c r="DD150" i="30248"/>
  <c r="DE150" i="30248" s="1"/>
  <c r="DD151" i="30248"/>
  <c r="DE151" i="30248" s="1"/>
  <c r="DD152" i="30248"/>
  <c r="DE152" i="30248" s="1"/>
  <c r="DD153" i="30248"/>
  <c r="DE153" i="30248" s="1"/>
  <c r="DD154" i="30248"/>
  <c r="DE154" i="30248" s="1"/>
  <c r="DD155" i="30248"/>
  <c r="DE155" i="30248" s="1"/>
  <c r="DD156" i="30248"/>
  <c r="DE156" i="30248" s="1"/>
  <c r="DD157" i="30248"/>
  <c r="DE157" i="30248" s="1"/>
  <c r="DD158" i="30248"/>
  <c r="DE158" i="30248" s="1"/>
  <c r="DD159" i="30248"/>
  <c r="DE159" i="30248" s="1"/>
  <c r="DD160" i="30248"/>
  <c r="DE160" i="30248" s="1"/>
  <c r="DD161" i="30248"/>
  <c r="DE161" i="30248" s="1"/>
  <c r="DD162" i="30248"/>
  <c r="DE162" i="30248" s="1"/>
  <c r="DD163" i="30248"/>
  <c r="DE163" i="30248" s="1"/>
  <c r="DD164" i="30248"/>
  <c r="DE164" i="30248" s="1"/>
  <c r="DD165" i="30248"/>
  <c r="DE165" i="30248" s="1"/>
  <c r="DD166" i="30248"/>
  <c r="DE166" i="30248" s="1"/>
  <c r="DD173" i="30248"/>
  <c r="DE173" i="30248" s="1"/>
  <c r="DD174" i="30248"/>
  <c r="DE174" i="30248" s="1"/>
  <c r="DD178" i="30248"/>
  <c r="DE178" i="30248" s="1"/>
  <c r="DD179" i="30248"/>
  <c r="DE179" i="30248" s="1"/>
  <c r="DD180" i="30248"/>
  <c r="DE180" i="30248" s="1"/>
  <c r="DD181" i="30248"/>
  <c r="DE181" i="30248" s="1"/>
  <c r="DD182" i="30248"/>
  <c r="DE182" i="30248" s="1"/>
  <c r="DD183" i="30248"/>
  <c r="DE183" i="30248" s="1"/>
  <c r="DD184" i="30248"/>
  <c r="DE184" i="30248" s="1"/>
  <c r="DD185" i="30248"/>
  <c r="DE185" i="30248" s="1"/>
  <c r="DD186" i="30248"/>
  <c r="DE186" i="30248" s="1"/>
  <c r="DD187" i="30248"/>
  <c r="DE187" i="30248" s="1"/>
  <c r="DC17" i="30248"/>
  <c r="DC18" i="30248"/>
  <c r="DC19" i="30248"/>
  <c r="DC20" i="30248"/>
  <c r="DC21" i="30248"/>
  <c r="DC22" i="30248"/>
  <c r="DC23" i="30248"/>
  <c r="DC24" i="30248"/>
  <c r="DC25" i="30248"/>
  <c r="DC26" i="30248"/>
  <c r="DC27" i="30248"/>
  <c r="DC28" i="30248"/>
  <c r="DC29" i="30248"/>
  <c r="DC30" i="30248"/>
  <c r="DC31" i="30248"/>
  <c r="DC32" i="30248"/>
  <c r="DC33" i="30248"/>
  <c r="DC34" i="30248"/>
  <c r="DC35" i="30248"/>
  <c r="DC36" i="30248"/>
  <c r="DC37" i="30248"/>
  <c r="DC38" i="30248"/>
  <c r="DC39" i="30248"/>
  <c r="DC40" i="30248"/>
  <c r="DC41" i="30248"/>
  <c r="DC42" i="30248"/>
  <c r="DC43" i="30248"/>
  <c r="DC44" i="30248"/>
  <c r="DC45" i="30248"/>
  <c r="DC46" i="30248"/>
  <c r="DC47" i="30248"/>
  <c r="DC48" i="30248"/>
  <c r="DC49" i="30248"/>
  <c r="DC51" i="30248"/>
  <c r="DC52" i="30248"/>
  <c r="DC53" i="30248"/>
  <c r="DC54" i="30248"/>
  <c r="DC56" i="30248"/>
  <c r="DC57" i="30248"/>
  <c r="DC58" i="30248"/>
  <c r="DC59" i="30248"/>
  <c r="DC60" i="30248"/>
  <c r="DC61" i="30248"/>
  <c r="DC62" i="30248"/>
  <c r="DC63" i="30248"/>
  <c r="DC64" i="30248"/>
  <c r="DC65" i="30248"/>
  <c r="DC66" i="30248"/>
  <c r="DC67" i="30248"/>
  <c r="DC68" i="30248"/>
  <c r="DC69" i="30248"/>
  <c r="DC70" i="30248"/>
  <c r="DC71" i="30248"/>
  <c r="DC72" i="30248"/>
  <c r="DC73" i="30248"/>
  <c r="DC74" i="30248"/>
  <c r="DC75" i="30248"/>
  <c r="DC76" i="30248"/>
  <c r="DC77" i="30248"/>
  <c r="DC78" i="30248"/>
  <c r="DC79" i="30248"/>
  <c r="DC177" i="30248" s="1"/>
  <c r="DC80" i="30248"/>
  <c r="DC81" i="30248"/>
  <c r="DC82" i="30248"/>
  <c r="DC83" i="30248"/>
  <c r="DC84" i="30248"/>
  <c r="DC85" i="30248"/>
  <c r="DC86" i="30248"/>
  <c r="DC87" i="30248"/>
  <c r="DC88" i="30248"/>
  <c r="DC89" i="30248"/>
  <c r="DC90" i="30248"/>
  <c r="DC91" i="30248"/>
  <c r="DC92" i="30248"/>
  <c r="DC93" i="30248"/>
  <c r="DC94" i="30248"/>
  <c r="DC95" i="30248"/>
  <c r="DC96" i="30248"/>
  <c r="DC97" i="30248"/>
  <c r="DC98" i="30248"/>
  <c r="DC99" i="30248"/>
  <c r="DC100" i="30248"/>
  <c r="DC101" i="30248"/>
  <c r="DC102" i="30248"/>
  <c r="DC103" i="30248"/>
  <c r="DC104" i="30248"/>
  <c r="DC105" i="30248"/>
  <c r="DC106" i="30248"/>
  <c r="DC107" i="30248"/>
  <c r="DC108" i="30248"/>
  <c r="DC109" i="30248"/>
  <c r="DC110" i="30248"/>
  <c r="DC111" i="30248"/>
  <c r="DC112" i="30248"/>
  <c r="DC113" i="30248"/>
  <c r="DC114" i="30248"/>
  <c r="DC115" i="30248"/>
  <c r="DC116" i="30248"/>
  <c r="DC117" i="30248"/>
  <c r="DC118" i="30248"/>
  <c r="DC119" i="30248"/>
  <c r="DC120" i="30248"/>
  <c r="DC121" i="30248"/>
  <c r="DC122" i="30248"/>
  <c r="DC123" i="30248"/>
  <c r="DC124" i="30248"/>
  <c r="DC125" i="30248"/>
  <c r="DC126" i="30248"/>
  <c r="DC127" i="30248"/>
  <c r="DC128" i="30248"/>
  <c r="DC129" i="30248"/>
  <c r="DC130" i="30248"/>
  <c r="DC131" i="30248"/>
  <c r="DC132" i="30248"/>
  <c r="DC133" i="30248"/>
  <c r="DC134" i="30248"/>
  <c r="DC135" i="30248"/>
  <c r="DC136" i="30248"/>
  <c r="DC137" i="30248"/>
  <c r="DC138" i="30248"/>
  <c r="DC139" i="30248"/>
  <c r="DC140" i="30248"/>
  <c r="DC141" i="30248"/>
  <c r="DC142" i="30248"/>
  <c r="DC143" i="30248"/>
  <c r="DC144" i="30248"/>
  <c r="DC145" i="30248"/>
  <c r="DC146" i="30248"/>
  <c r="DC147" i="30248"/>
  <c r="DC148" i="30248"/>
  <c r="DC149" i="30248"/>
  <c r="DC150" i="30248"/>
  <c r="DC151" i="30248"/>
  <c r="DC152" i="30248"/>
  <c r="DC153" i="30248"/>
  <c r="DC154" i="30248"/>
  <c r="DC155" i="30248"/>
  <c r="DC156" i="30248"/>
  <c r="DC157" i="30248"/>
  <c r="DC158" i="30248"/>
  <c r="DC159" i="30248"/>
  <c r="DC160" i="30248"/>
  <c r="DC161" i="30248"/>
  <c r="DC162" i="30248"/>
  <c r="DC163" i="30248"/>
  <c r="DC164" i="30248"/>
  <c r="DC165" i="30248"/>
  <c r="DC166" i="30248"/>
  <c r="DC173" i="30248"/>
  <c r="DC174" i="30248"/>
  <c r="DC178" i="30248"/>
  <c r="DC179" i="30248"/>
  <c r="DC180" i="30248"/>
  <c r="DC181" i="30248"/>
  <c r="DC182" i="30248"/>
  <c r="DC183" i="30248"/>
  <c r="DC184" i="30248"/>
  <c r="DC185" i="30248"/>
  <c r="DC186" i="30248"/>
  <c r="DC187" i="30248"/>
  <c r="DC11" i="30248"/>
  <c r="DC12" i="30248"/>
  <c r="DC13" i="30248"/>
  <c r="DC14" i="30248"/>
  <c r="DC15" i="30248"/>
  <c r="DC16" i="30248"/>
  <c r="CW130" i="30248"/>
  <c r="CX130" i="30248"/>
  <c r="CY130" i="30248"/>
  <c r="CZ130" i="30248"/>
  <c r="FQ130" i="30248" s="1"/>
  <c r="DA130" i="30248"/>
  <c r="DB130" i="30248"/>
  <c r="CW131" i="30248"/>
  <c r="CX131" i="30248"/>
  <c r="CY131" i="30248"/>
  <c r="CZ131" i="30248"/>
  <c r="DA131" i="30248"/>
  <c r="DB131" i="30248"/>
  <c r="CW132" i="30248"/>
  <c r="CX132" i="30248"/>
  <c r="CY132" i="30248"/>
  <c r="CZ132" i="30248"/>
  <c r="FQ132" i="30248" s="1"/>
  <c r="DA132" i="30248"/>
  <c r="DB132" i="30248"/>
  <c r="CW133" i="30248"/>
  <c r="CX133" i="30248"/>
  <c r="CY133" i="30248"/>
  <c r="CZ133" i="30248"/>
  <c r="FQ133" i="30248" s="1"/>
  <c r="DA133" i="30248"/>
  <c r="DB133" i="30248"/>
  <c r="CW134" i="30248"/>
  <c r="CX134" i="30248"/>
  <c r="CY134" i="30248"/>
  <c r="CZ134" i="30248"/>
  <c r="DA134" i="30248"/>
  <c r="DB134" i="30248"/>
  <c r="CW135" i="30248"/>
  <c r="CX135" i="30248"/>
  <c r="CY135" i="30248"/>
  <c r="CZ135" i="30248"/>
  <c r="FQ135" i="30248" s="1"/>
  <c r="DA135" i="30248"/>
  <c r="DB135" i="30248"/>
  <c r="CW136" i="30248"/>
  <c r="CX136" i="30248"/>
  <c r="CY136" i="30248"/>
  <c r="CZ136" i="30248"/>
  <c r="FQ136" i="30248" s="1"/>
  <c r="DA136" i="30248"/>
  <c r="DB136" i="30248"/>
  <c r="CW137" i="30248"/>
  <c r="CX137" i="30248"/>
  <c r="CY137" i="30248"/>
  <c r="CZ137" i="30248"/>
  <c r="FQ137" i="30248" s="1"/>
  <c r="DA137" i="30248"/>
  <c r="DB137" i="30248"/>
  <c r="CW138" i="30248"/>
  <c r="CX138" i="30248"/>
  <c r="CY138" i="30248"/>
  <c r="CZ138" i="30248"/>
  <c r="FQ138" i="30248" s="1"/>
  <c r="DA138" i="30248"/>
  <c r="DB138" i="30248"/>
  <c r="CW139" i="30248"/>
  <c r="CX139" i="30248"/>
  <c r="CY139" i="30248"/>
  <c r="CZ139" i="30248"/>
  <c r="FQ139" i="30248" s="1"/>
  <c r="DA139" i="30248"/>
  <c r="DB139" i="30248"/>
  <c r="CW140" i="30248"/>
  <c r="CX140" i="30248"/>
  <c r="CY140" i="30248"/>
  <c r="CZ140" i="30248"/>
  <c r="FQ140" i="30248" s="1"/>
  <c r="DA140" i="30248"/>
  <c r="DB140" i="30248"/>
  <c r="CW141" i="30248"/>
  <c r="CX141" i="30248"/>
  <c r="CY141" i="30248"/>
  <c r="CZ141" i="30248"/>
  <c r="FQ141" i="30248" s="1"/>
  <c r="DA141" i="30248"/>
  <c r="DB141" i="30248"/>
  <c r="CW142" i="30248"/>
  <c r="CX142" i="30248"/>
  <c r="CY142" i="30248"/>
  <c r="CZ142" i="30248"/>
  <c r="FQ142" i="30248" s="1"/>
  <c r="DA142" i="30248"/>
  <c r="DB142" i="30248"/>
  <c r="CW143" i="30248"/>
  <c r="CX143" i="30248"/>
  <c r="CY143" i="30248"/>
  <c r="CZ143" i="30248"/>
  <c r="FQ143" i="30248" s="1"/>
  <c r="DA143" i="30248"/>
  <c r="DB143" i="30248"/>
  <c r="CW144" i="30248"/>
  <c r="CX144" i="30248"/>
  <c r="CY144" i="30248"/>
  <c r="CZ144" i="30248"/>
  <c r="FQ144" i="30248" s="1"/>
  <c r="DA144" i="30248"/>
  <c r="DB144" i="30248"/>
  <c r="CW145" i="30248"/>
  <c r="CX145" i="30248"/>
  <c r="CY145" i="30248"/>
  <c r="CZ145" i="30248"/>
  <c r="FQ145" i="30248" s="1"/>
  <c r="DA145" i="30248"/>
  <c r="DB145" i="30248"/>
  <c r="CW146" i="30248"/>
  <c r="CX146" i="30248"/>
  <c r="CY146" i="30248"/>
  <c r="CZ146" i="30248"/>
  <c r="FQ146" i="30248" s="1"/>
  <c r="DA146" i="30248"/>
  <c r="DB146" i="30248"/>
  <c r="CW147" i="30248"/>
  <c r="CX147" i="30248"/>
  <c r="CY147" i="30248"/>
  <c r="CZ147" i="30248"/>
  <c r="FQ147" i="30248" s="1"/>
  <c r="DA147" i="30248"/>
  <c r="DB147" i="30248"/>
  <c r="CW148" i="30248"/>
  <c r="CX148" i="30248"/>
  <c r="CY148" i="30248"/>
  <c r="CZ148" i="30248"/>
  <c r="FQ148" i="30248" s="1"/>
  <c r="DA148" i="30248"/>
  <c r="DB148" i="30248"/>
  <c r="CW149" i="30248"/>
  <c r="CX149" i="30248"/>
  <c r="CY149" i="30248"/>
  <c r="CZ149" i="30248"/>
  <c r="FQ149" i="30248" s="1"/>
  <c r="DA149" i="30248"/>
  <c r="DB149" i="30248"/>
  <c r="CW150" i="30248"/>
  <c r="CX150" i="30248"/>
  <c r="CY150" i="30248"/>
  <c r="CZ150" i="30248"/>
  <c r="FQ150" i="30248" s="1"/>
  <c r="DA150" i="30248"/>
  <c r="DB150" i="30248"/>
  <c r="CW151" i="30248"/>
  <c r="CX151" i="30248"/>
  <c r="CY151" i="30248"/>
  <c r="CZ151" i="30248"/>
  <c r="FQ151" i="30248" s="1"/>
  <c r="DA151" i="30248"/>
  <c r="DB151" i="30248"/>
  <c r="CW152" i="30248"/>
  <c r="CX152" i="30248"/>
  <c r="CY152" i="30248"/>
  <c r="CZ152" i="30248"/>
  <c r="FQ152" i="30248" s="1"/>
  <c r="DA152" i="30248"/>
  <c r="DB152" i="30248"/>
  <c r="CW153" i="30248"/>
  <c r="CX153" i="30248"/>
  <c r="CY153" i="30248"/>
  <c r="CZ153" i="30248"/>
  <c r="FQ153" i="30248" s="1"/>
  <c r="DA153" i="30248"/>
  <c r="DB153" i="30248"/>
  <c r="CW154" i="30248"/>
  <c r="CX154" i="30248"/>
  <c r="CY154" i="30248"/>
  <c r="CZ154" i="30248"/>
  <c r="FQ154" i="30248" s="1"/>
  <c r="DA154" i="30248"/>
  <c r="DB154" i="30248"/>
  <c r="CW155" i="30248"/>
  <c r="CX155" i="30248"/>
  <c r="CY155" i="30248"/>
  <c r="CZ155" i="30248"/>
  <c r="FQ155" i="30248" s="1"/>
  <c r="DA155" i="30248"/>
  <c r="DB155" i="30248"/>
  <c r="CW156" i="30248"/>
  <c r="CX156" i="30248"/>
  <c r="CY156" i="30248"/>
  <c r="CZ156" i="30248"/>
  <c r="FQ156" i="30248" s="1"/>
  <c r="DA156" i="30248"/>
  <c r="DB156" i="30248"/>
  <c r="CW157" i="30248"/>
  <c r="CX157" i="30248"/>
  <c r="CY157" i="30248"/>
  <c r="CZ157" i="30248"/>
  <c r="FQ157" i="30248" s="1"/>
  <c r="DA157" i="30248"/>
  <c r="DB157" i="30248"/>
  <c r="CW158" i="30248"/>
  <c r="CX158" i="30248"/>
  <c r="CY158" i="30248"/>
  <c r="CZ158" i="30248"/>
  <c r="FQ158" i="30248" s="1"/>
  <c r="DA158" i="30248"/>
  <c r="DB158" i="30248"/>
  <c r="CW159" i="30248"/>
  <c r="CX159" i="30248"/>
  <c r="CY159" i="30248"/>
  <c r="CZ159" i="30248"/>
  <c r="FQ159" i="30248" s="1"/>
  <c r="DA159" i="30248"/>
  <c r="DB159" i="30248"/>
  <c r="CW160" i="30248"/>
  <c r="CX160" i="30248"/>
  <c r="CY160" i="30248"/>
  <c r="CZ160" i="30248"/>
  <c r="FQ160" i="30248" s="1"/>
  <c r="DA160" i="30248"/>
  <c r="DB160" i="30248"/>
  <c r="CW161" i="30248"/>
  <c r="CX161" i="30248"/>
  <c r="CY161" i="30248"/>
  <c r="CZ161" i="30248"/>
  <c r="FQ161" i="30248" s="1"/>
  <c r="DA161" i="30248"/>
  <c r="DB161" i="30248"/>
  <c r="CW162" i="30248"/>
  <c r="CX162" i="30248"/>
  <c r="CY162" i="30248"/>
  <c r="CZ162" i="30248"/>
  <c r="FQ162" i="30248" s="1"/>
  <c r="DA162" i="30248"/>
  <c r="DB162" i="30248"/>
  <c r="CW163" i="30248"/>
  <c r="CX163" i="30248"/>
  <c r="CY163" i="30248"/>
  <c r="CZ163" i="30248"/>
  <c r="FQ163" i="30248" s="1"/>
  <c r="DA163" i="30248"/>
  <c r="DB163" i="30248"/>
  <c r="CW164" i="30248"/>
  <c r="CX164" i="30248"/>
  <c r="CY164" i="30248"/>
  <c r="CZ164" i="30248"/>
  <c r="FQ164" i="30248" s="1"/>
  <c r="DA164" i="30248"/>
  <c r="DB164" i="30248"/>
  <c r="CW165" i="30248"/>
  <c r="CX165" i="30248"/>
  <c r="CY165" i="30248"/>
  <c r="CZ165" i="30248"/>
  <c r="FQ165" i="30248" s="1"/>
  <c r="DA165" i="30248"/>
  <c r="DB165" i="30248"/>
  <c r="CW166" i="30248"/>
  <c r="CX166" i="30248"/>
  <c r="CY166" i="30248"/>
  <c r="CZ166" i="30248"/>
  <c r="FQ166" i="30248" s="1"/>
  <c r="DA166" i="30248"/>
  <c r="DB166" i="30248"/>
  <c r="CW173" i="30248"/>
  <c r="CX173" i="30248"/>
  <c r="CY173" i="30248"/>
  <c r="CZ173" i="30248"/>
  <c r="FQ173" i="30248" s="1"/>
  <c r="DA173" i="30248"/>
  <c r="DB173" i="30248"/>
  <c r="CW174" i="30248"/>
  <c r="CX174" i="30248"/>
  <c r="CY174" i="30248"/>
  <c r="CZ174" i="30248"/>
  <c r="FQ174" i="30248" s="1"/>
  <c r="DA174" i="30248"/>
  <c r="DB174" i="30248"/>
  <c r="CW178" i="30248"/>
  <c r="CX178" i="30248"/>
  <c r="CY178" i="30248"/>
  <c r="CZ178" i="30248"/>
  <c r="FQ178" i="30248" s="1"/>
  <c r="DA178" i="30248"/>
  <c r="DB178" i="30248"/>
  <c r="CW179" i="30248"/>
  <c r="CX179" i="30248"/>
  <c r="CY179" i="30248"/>
  <c r="CZ179" i="30248"/>
  <c r="FQ179" i="30248" s="1"/>
  <c r="DA179" i="30248"/>
  <c r="DB179" i="30248"/>
  <c r="CW180" i="30248"/>
  <c r="CX180" i="30248"/>
  <c r="CY180" i="30248"/>
  <c r="CZ180" i="30248"/>
  <c r="FQ180" i="30248" s="1"/>
  <c r="DA180" i="30248"/>
  <c r="DB180" i="30248"/>
  <c r="CW181" i="30248"/>
  <c r="CX181" i="30248"/>
  <c r="CY181" i="30248"/>
  <c r="CZ181" i="30248"/>
  <c r="FQ181" i="30248" s="1"/>
  <c r="DA181" i="30248"/>
  <c r="DB181" i="30248"/>
  <c r="CW182" i="30248"/>
  <c r="CX182" i="30248"/>
  <c r="CY182" i="30248"/>
  <c r="CZ182" i="30248"/>
  <c r="FQ182" i="30248" s="1"/>
  <c r="DA182" i="30248"/>
  <c r="DB182" i="30248"/>
  <c r="CW183" i="30248"/>
  <c r="CX183" i="30248"/>
  <c r="CY183" i="30248"/>
  <c r="CZ183" i="30248"/>
  <c r="FQ183" i="30248" s="1"/>
  <c r="DA183" i="30248"/>
  <c r="DB183" i="30248"/>
  <c r="CW184" i="30248"/>
  <c r="CX184" i="30248"/>
  <c r="CY184" i="30248"/>
  <c r="CZ184" i="30248"/>
  <c r="FQ184" i="30248" s="1"/>
  <c r="DA184" i="30248"/>
  <c r="DB184" i="30248"/>
  <c r="CW185" i="30248"/>
  <c r="CX185" i="30248"/>
  <c r="CY185" i="30248"/>
  <c r="CZ185" i="30248"/>
  <c r="FQ185" i="30248" s="1"/>
  <c r="DA185" i="30248"/>
  <c r="DB185" i="30248"/>
  <c r="CW186" i="30248"/>
  <c r="CX186" i="30248"/>
  <c r="CY186" i="30248"/>
  <c r="CZ186" i="30248"/>
  <c r="FQ186" i="30248" s="1"/>
  <c r="DA186" i="30248"/>
  <c r="DB186" i="30248"/>
  <c r="CW187" i="30248"/>
  <c r="CX187" i="30248"/>
  <c r="CY187" i="30248"/>
  <c r="CZ187" i="30248"/>
  <c r="DA187" i="30248"/>
  <c r="DB187" i="30248"/>
  <c r="CW37" i="30248"/>
  <c r="CX37" i="30248"/>
  <c r="CY37" i="30248"/>
  <c r="CZ37" i="30248"/>
  <c r="FQ37" i="30248" s="1"/>
  <c r="DA37" i="30248"/>
  <c r="DB37" i="30248"/>
  <c r="CW38" i="30248"/>
  <c r="CX38" i="30248"/>
  <c r="CY38" i="30248"/>
  <c r="CZ38" i="30248"/>
  <c r="FQ38" i="30248" s="1"/>
  <c r="DA38" i="30248"/>
  <c r="DB38" i="30248"/>
  <c r="CW39" i="30248"/>
  <c r="CX39" i="30248"/>
  <c r="CY39" i="30248"/>
  <c r="CZ39" i="30248"/>
  <c r="FQ39" i="30248" s="1"/>
  <c r="DA39" i="30248"/>
  <c r="DB39" i="30248"/>
  <c r="CW40" i="30248"/>
  <c r="CX40" i="30248"/>
  <c r="CY40" i="30248"/>
  <c r="CZ40" i="30248"/>
  <c r="FQ40" i="30248" s="1"/>
  <c r="DA40" i="30248"/>
  <c r="DB40" i="30248"/>
  <c r="CW41" i="30248"/>
  <c r="CX41" i="30248"/>
  <c r="CY41" i="30248"/>
  <c r="CZ41" i="30248"/>
  <c r="FQ41" i="30248" s="1"/>
  <c r="DA41" i="30248"/>
  <c r="DB41" i="30248"/>
  <c r="CW42" i="30248"/>
  <c r="CX42" i="30248"/>
  <c r="CY42" i="30248"/>
  <c r="CZ42" i="30248"/>
  <c r="FQ42" i="30248" s="1"/>
  <c r="DA42" i="30248"/>
  <c r="DB42" i="30248"/>
  <c r="CW43" i="30248"/>
  <c r="CX43" i="30248"/>
  <c r="CY43" i="30248"/>
  <c r="CZ43" i="30248"/>
  <c r="FQ43" i="30248" s="1"/>
  <c r="DA43" i="30248"/>
  <c r="DB43" i="30248"/>
  <c r="CW44" i="30248"/>
  <c r="CX44" i="30248"/>
  <c r="CY44" i="30248"/>
  <c r="CZ44" i="30248"/>
  <c r="FQ44" i="30248" s="1"/>
  <c r="DA44" i="30248"/>
  <c r="DB44" i="30248"/>
  <c r="CW45" i="30248"/>
  <c r="CX45" i="30248"/>
  <c r="CY45" i="30248"/>
  <c r="CZ45" i="30248"/>
  <c r="FQ45" i="30248" s="1"/>
  <c r="DA45" i="30248"/>
  <c r="DB45" i="30248"/>
  <c r="CW46" i="30248"/>
  <c r="CX46" i="30248"/>
  <c r="CY46" i="30248"/>
  <c r="CZ46" i="30248"/>
  <c r="FQ46" i="30248" s="1"/>
  <c r="DA46" i="30248"/>
  <c r="DB46" i="30248"/>
  <c r="CW47" i="30248"/>
  <c r="CX47" i="30248"/>
  <c r="CY47" i="30248"/>
  <c r="CZ47" i="30248"/>
  <c r="FQ47" i="30248" s="1"/>
  <c r="DA47" i="30248"/>
  <c r="DB47" i="30248"/>
  <c r="CW48" i="30248"/>
  <c r="CX48" i="30248"/>
  <c r="CY48" i="30248"/>
  <c r="CZ48" i="30248"/>
  <c r="FQ48" i="30248" s="1"/>
  <c r="DA48" i="30248"/>
  <c r="DB48" i="30248"/>
  <c r="CW49" i="30248"/>
  <c r="CX49" i="30248"/>
  <c r="CY49" i="30248"/>
  <c r="CZ49" i="30248"/>
  <c r="FQ49" i="30248" s="1"/>
  <c r="DA49" i="30248"/>
  <c r="DB49" i="30248"/>
  <c r="CW51" i="30248"/>
  <c r="CX51" i="30248"/>
  <c r="CY51" i="30248"/>
  <c r="CZ51" i="30248"/>
  <c r="FQ51" i="30248" s="1"/>
  <c r="DA51" i="30248"/>
  <c r="DB51" i="30248"/>
  <c r="CW52" i="30248"/>
  <c r="CX52" i="30248"/>
  <c r="CY52" i="30248"/>
  <c r="CZ52" i="30248"/>
  <c r="FQ52" i="30248" s="1"/>
  <c r="DA52" i="30248"/>
  <c r="DB52" i="30248"/>
  <c r="CW53" i="30248"/>
  <c r="CX53" i="30248"/>
  <c r="CY53" i="30248"/>
  <c r="CZ53" i="30248"/>
  <c r="FQ53" i="30248" s="1"/>
  <c r="DA53" i="30248"/>
  <c r="DB53" i="30248"/>
  <c r="CW54" i="30248"/>
  <c r="CX54" i="30248"/>
  <c r="CY54" i="30248"/>
  <c r="CZ54" i="30248"/>
  <c r="FQ54" i="30248" s="1"/>
  <c r="DA54" i="30248"/>
  <c r="DB54" i="30248"/>
  <c r="CW55" i="30248"/>
  <c r="CX55" i="30248"/>
  <c r="CY55" i="30248"/>
  <c r="CZ55" i="30248"/>
  <c r="FQ55" i="30248" s="1"/>
  <c r="DA55" i="30248"/>
  <c r="CW56" i="30248"/>
  <c r="CX56" i="30248"/>
  <c r="CY56" i="30248"/>
  <c r="CZ56" i="30248"/>
  <c r="FQ56" i="30248" s="1"/>
  <c r="DA56" i="30248"/>
  <c r="DB56" i="30248"/>
  <c r="CW57" i="30248"/>
  <c r="CX57" i="30248"/>
  <c r="CY57" i="30248"/>
  <c r="CZ57" i="30248"/>
  <c r="FQ57" i="30248" s="1"/>
  <c r="DA57" i="30248"/>
  <c r="DB57" i="30248"/>
  <c r="CW58" i="30248"/>
  <c r="CX58" i="30248"/>
  <c r="CY58" i="30248"/>
  <c r="CZ58" i="30248"/>
  <c r="FQ58" i="30248" s="1"/>
  <c r="DA58" i="30248"/>
  <c r="DB58" i="30248"/>
  <c r="CW59" i="30248"/>
  <c r="CX59" i="30248"/>
  <c r="CY59" i="30248"/>
  <c r="CZ59" i="30248"/>
  <c r="FQ59" i="30248" s="1"/>
  <c r="DA59" i="30248"/>
  <c r="DB59" i="30248"/>
  <c r="CW60" i="30248"/>
  <c r="CX60" i="30248"/>
  <c r="CY60" i="30248"/>
  <c r="CZ60" i="30248"/>
  <c r="FQ60" i="30248" s="1"/>
  <c r="DA60" i="30248"/>
  <c r="DB60" i="30248"/>
  <c r="CW61" i="30248"/>
  <c r="CX61" i="30248"/>
  <c r="CY61" i="30248"/>
  <c r="CZ61" i="30248"/>
  <c r="FQ61" i="30248" s="1"/>
  <c r="DA61" i="30248"/>
  <c r="DB61" i="30248"/>
  <c r="CW62" i="30248"/>
  <c r="CX62" i="30248"/>
  <c r="CY62" i="30248"/>
  <c r="CZ62" i="30248"/>
  <c r="FQ62" i="30248" s="1"/>
  <c r="DA62" i="30248"/>
  <c r="DB62" i="30248"/>
  <c r="CW63" i="30248"/>
  <c r="CX63" i="30248"/>
  <c r="CY63" i="30248"/>
  <c r="CZ63" i="30248"/>
  <c r="FQ63" i="30248" s="1"/>
  <c r="DA63" i="30248"/>
  <c r="DB63" i="30248"/>
  <c r="CW64" i="30248"/>
  <c r="CX64" i="30248"/>
  <c r="CY64" i="30248"/>
  <c r="CZ64" i="30248"/>
  <c r="FQ64" i="30248" s="1"/>
  <c r="DA64" i="30248"/>
  <c r="DB64" i="30248"/>
  <c r="CW65" i="30248"/>
  <c r="CX65" i="30248"/>
  <c r="CY65" i="30248"/>
  <c r="CZ65" i="30248"/>
  <c r="FQ65" i="30248" s="1"/>
  <c r="DA65" i="30248"/>
  <c r="DB65" i="30248"/>
  <c r="CW66" i="30248"/>
  <c r="CX66" i="30248"/>
  <c r="CY66" i="30248"/>
  <c r="CZ66" i="30248"/>
  <c r="FQ66" i="30248" s="1"/>
  <c r="DA66" i="30248"/>
  <c r="DB66" i="30248"/>
  <c r="CW67" i="30248"/>
  <c r="CX67" i="30248"/>
  <c r="CY67" i="30248"/>
  <c r="CZ67" i="30248"/>
  <c r="FQ67" i="30248" s="1"/>
  <c r="DA67" i="30248"/>
  <c r="DB67" i="30248"/>
  <c r="CW68" i="30248"/>
  <c r="CX68" i="30248"/>
  <c r="CY68" i="30248"/>
  <c r="CZ68" i="30248"/>
  <c r="FQ68" i="30248" s="1"/>
  <c r="DA68" i="30248"/>
  <c r="DB68" i="30248"/>
  <c r="CW69" i="30248"/>
  <c r="CX69" i="30248"/>
  <c r="CY69" i="30248"/>
  <c r="CZ69" i="30248"/>
  <c r="FQ69" i="30248" s="1"/>
  <c r="DA69" i="30248"/>
  <c r="DB69" i="30248"/>
  <c r="CW70" i="30248"/>
  <c r="CX70" i="30248"/>
  <c r="CY70" i="30248"/>
  <c r="CZ70" i="30248"/>
  <c r="FQ70" i="30248" s="1"/>
  <c r="DA70" i="30248"/>
  <c r="DB70" i="30248"/>
  <c r="CW71" i="30248"/>
  <c r="CX71" i="30248"/>
  <c r="CY71" i="30248"/>
  <c r="CZ71" i="30248"/>
  <c r="FQ71" i="30248" s="1"/>
  <c r="DA71" i="30248"/>
  <c r="DB71" i="30248"/>
  <c r="CW72" i="30248"/>
  <c r="CX72" i="30248"/>
  <c r="CY72" i="30248"/>
  <c r="CZ72" i="30248"/>
  <c r="FQ72" i="30248" s="1"/>
  <c r="DA72" i="30248"/>
  <c r="DB72" i="30248"/>
  <c r="CW73" i="30248"/>
  <c r="CX73" i="30248"/>
  <c r="CY73" i="30248"/>
  <c r="CZ73" i="30248"/>
  <c r="FQ73" i="30248" s="1"/>
  <c r="DA73" i="30248"/>
  <c r="DB73" i="30248"/>
  <c r="CW74" i="30248"/>
  <c r="CX74" i="30248"/>
  <c r="CY74" i="30248"/>
  <c r="CZ74" i="30248"/>
  <c r="FQ74" i="30248" s="1"/>
  <c r="DA74" i="30248"/>
  <c r="DB74" i="30248"/>
  <c r="CW75" i="30248"/>
  <c r="CX75" i="30248"/>
  <c r="CY75" i="30248"/>
  <c r="CZ75" i="30248"/>
  <c r="FQ75" i="30248" s="1"/>
  <c r="DA75" i="30248"/>
  <c r="DB75" i="30248"/>
  <c r="CW76" i="30248"/>
  <c r="CX76" i="30248"/>
  <c r="CY76" i="30248"/>
  <c r="CZ76" i="30248"/>
  <c r="FQ76" i="30248" s="1"/>
  <c r="DA76" i="30248"/>
  <c r="DB76" i="30248"/>
  <c r="CW77" i="30248"/>
  <c r="CX77" i="30248"/>
  <c r="CY77" i="30248"/>
  <c r="CZ77" i="30248"/>
  <c r="FQ77" i="30248" s="1"/>
  <c r="DA77" i="30248"/>
  <c r="DB77" i="30248"/>
  <c r="CW78" i="30248"/>
  <c r="CX78" i="30248"/>
  <c r="CY78" i="30248"/>
  <c r="CZ78" i="30248"/>
  <c r="FQ78" i="30248" s="1"/>
  <c r="DA78" i="30248"/>
  <c r="DB78" i="30248"/>
  <c r="CW79" i="30248"/>
  <c r="CW177" i="30248" s="1"/>
  <c r="CX79" i="30248"/>
  <c r="CX177" i="30248" s="1"/>
  <c r="CY79" i="30248"/>
  <c r="CZ79" i="30248"/>
  <c r="DB79" i="30248"/>
  <c r="DB177" i="30248" s="1"/>
  <c r="CW80" i="30248"/>
  <c r="CX80" i="30248"/>
  <c r="CY80" i="30248"/>
  <c r="CZ80" i="30248"/>
  <c r="FQ80" i="30248" s="1"/>
  <c r="DA80" i="30248"/>
  <c r="DB80" i="30248"/>
  <c r="CW81" i="30248"/>
  <c r="CX81" i="30248"/>
  <c r="CY81" i="30248"/>
  <c r="CZ81" i="30248"/>
  <c r="FQ81" i="30248" s="1"/>
  <c r="DA81" i="30248"/>
  <c r="DB81" i="30248"/>
  <c r="CW82" i="30248"/>
  <c r="CX82" i="30248"/>
  <c r="CY82" i="30248"/>
  <c r="CZ82" i="30248"/>
  <c r="FQ82" i="30248" s="1"/>
  <c r="DA82" i="30248"/>
  <c r="DB82" i="30248"/>
  <c r="CW83" i="30248"/>
  <c r="CX83" i="30248"/>
  <c r="CY83" i="30248"/>
  <c r="CZ83" i="30248"/>
  <c r="FQ83" i="30248" s="1"/>
  <c r="DA83" i="30248"/>
  <c r="DB83" i="30248"/>
  <c r="CW84" i="30248"/>
  <c r="CX84" i="30248"/>
  <c r="CY84" i="30248"/>
  <c r="CZ84" i="30248"/>
  <c r="FQ84" i="30248" s="1"/>
  <c r="DA84" i="30248"/>
  <c r="DB84" i="30248"/>
  <c r="CW85" i="30248"/>
  <c r="CX85" i="30248"/>
  <c r="CY85" i="30248"/>
  <c r="CZ85" i="30248"/>
  <c r="FQ85" i="30248" s="1"/>
  <c r="DA85" i="30248"/>
  <c r="DB85" i="30248"/>
  <c r="CW86" i="30248"/>
  <c r="CX86" i="30248"/>
  <c r="CY86" i="30248"/>
  <c r="CZ86" i="30248"/>
  <c r="FQ86" i="30248" s="1"/>
  <c r="DA86" i="30248"/>
  <c r="DB86" i="30248"/>
  <c r="CW87" i="30248"/>
  <c r="CX87" i="30248"/>
  <c r="CY87" i="30248"/>
  <c r="CZ87" i="30248"/>
  <c r="FQ87" i="30248" s="1"/>
  <c r="DA87" i="30248"/>
  <c r="DB87" i="30248"/>
  <c r="CW88" i="30248"/>
  <c r="CX88" i="30248"/>
  <c r="CY88" i="30248"/>
  <c r="CZ88" i="30248"/>
  <c r="FQ88" i="30248" s="1"/>
  <c r="DA88" i="30248"/>
  <c r="DB88" i="30248"/>
  <c r="CW89" i="30248"/>
  <c r="CX89" i="30248"/>
  <c r="CY89" i="30248"/>
  <c r="CZ89" i="30248"/>
  <c r="FQ89" i="30248" s="1"/>
  <c r="DA89" i="30248"/>
  <c r="DB89" i="30248"/>
  <c r="CW90" i="30248"/>
  <c r="CX90" i="30248"/>
  <c r="CY90" i="30248"/>
  <c r="CZ90" i="30248"/>
  <c r="FQ90" i="30248" s="1"/>
  <c r="DA90" i="30248"/>
  <c r="DB90" i="30248"/>
  <c r="CW91" i="30248"/>
  <c r="CX91" i="30248"/>
  <c r="CY91" i="30248"/>
  <c r="CZ91" i="30248"/>
  <c r="FQ91" i="30248" s="1"/>
  <c r="DA91" i="30248"/>
  <c r="DB91" i="30248"/>
  <c r="CW92" i="30248"/>
  <c r="CX92" i="30248"/>
  <c r="CY92" i="30248"/>
  <c r="CZ92" i="30248"/>
  <c r="FQ92" i="30248" s="1"/>
  <c r="DA92" i="30248"/>
  <c r="DB92" i="30248"/>
  <c r="CW93" i="30248"/>
  <c r="CX93" i="30248"/>
  <c r="CY93" i="30248"/>
  <c r="CZ93" i="30248"/>
  <c r="FQ93" i="30248" s="1"/>
  <c r="DA93" i="30248"/>
  <c r="DB93" i="30248"/>
  <c r="CW94" i="30248"/>
  <c r="CX94" i="30248"/>
  <c r="CY94" i="30248"/>
  <c r="CZ94" i="30248"/>
  <c r="FQ94" i="30248" s="1"/>
  <c r="DA94" i="30248"/>
  <c r="DB94" i="30248"/>
  <c r="CW95" i="30248"/>
  <c r="CX95" i="30248"/>
  <c r="CY95" i="30248"/>
  <c r="CZ95" i="30248"/>
  <c r="FQ95" i="30248" s="1"/>
  <c r="DA95" i="30248"/>
  <c r="DB95" i="30248"/>
  <c r="CW96" i="30248"/>
  <c r="CX96" i="30248"/>
  <c r="CY96" i="30248"/>
  <c r="CZ96" i="30248"/>
  <c r="FQ96" i="30248" s="1"/>
  <c r="DA96" i="30248"/>
  <c r="DB96" i="30248"/>
  <c r="CW97" i="30248"/>
  <c r="CX97" i="30248"/>
  <c r="CY97" i="30248"/>
  <c r="CZ97" i="30248"/>
  <c r="FQ97" i="30248" s="1"/>
  <c r="DA97" i="30248"/>
  <c r="DB97" i="30248"/>
  <c r="CW98" i="30248"/>
  <c r="CX98" i="30248"/>
  <c r="CY98" i="30248"/>
  <c r="CZ98" i="30248"/>
  <c r="FQ98" i="30248" s="1"/>
  <c r="DA98" i="30248"/>
  <c r="DB98" i="30248"/>
  <c r="CW99" i="30248"/>
  <c r="CX99" i="30248"/>
  <c r="CY99" i="30248"/>
  <c r="CZ99" i="30248"/>
  <c r="FQ99" i="30248" s="1"/>
  <c r="DA99" i="30248"/>
  <c r="DB99" i="30248"/>
  <c r="CW100" i="30248"/>
  <c r="CX100" i="30248"/>
  <c r="CY100" i="30248"/>
  <c r="CZ100" i="30248"/>
  <c r="FQ100" i="30248" s="1"/>
  <c r="DA100" i="30248"/>
  <c r="DB100" i="30248"/>
  <c r="CW101" i="30248"/>
  <c r="CX101" i="30248"/>
  <c r="CY101" i="30248"/>
  <c r="CZ101" i="30248"/>
  <c r="FQ101" i="30248" s="1"/>
  <c r="DA101" i="30248"/>
  <c r="DB101" i="30248"/>
  <c r="CW102" i="30248"/>
  <c r="CX102" i="30248"/>
  <c r="CY102" i="30248"/>
  <c r="CZ102" i="30248"/>
  <c r="FQ102" i="30248" s="1"/>
  <c r="DA102" i="30248"/>
  <c r="DB102" i="30248"/>
  <c r="CW103" i="30248"/>
  <c r="CX103" i="30248"/>
  <c r="CY103" i="30248"/>
  <c r="CZ103" i="30248"/>
  <c r="FQ103" i="30248" s="1"/>
  <c r="DA103" i="30248"/>
  <c r="DB103" i="30248"/>
  <c r="CW104" i="30248"/>
  <c r="CX104" i="30248"/>
  <c r="CY104" i="30248"/>
  <c r="CZ104" i="30248"/>
  <c r="FQ104" i="30248" s="1"/>
  <c r="DA104" i="30248"/>
  <c r="DB104" i="30248"/>
  <c r="CW105" i="30248"/>
  <c r="CX105" i="30248"/>
  <c r="CY105" i="30248"/>
  <c r="CZ105" i="30248"/>
  <c r="FQ105" i="30248" s="1"/>
  <c r="DA105" i="30248"/>
  <c r="DB105" i="30248"/>
  <c r="CW106" i="30248"/>
  <c r="CX106" i="30248"/>
  <c r="CY106" i="30248"/>
  <c r="CZ106" i="30248"/>
  <c r="FQ106" i="30248" s="1"/>
  <c r="DA106" i="30248"/>
  <c r="DB106" i="30248"/>
  <c r="CW107" i="30248"/>
  <c r="CX107" i="30248"/>
  <c r="CY107" i="30248"/>
  <c r="CZ107" i="30248"/>
  <c r="FQ107" i="30248" s="1"/>
  <c r="DA107" i="30248"/>
  <c r="DB107" i="30248"/>
  <c r="CW108" i="30248"/>
  <c r="CX108" i="30248"/>
  <c r="CY108" i="30248"/>
  <c r="CZ108" i="30248"/>
  <c r="FQ108" i="30248" s="1"/>
  <c r="DA108" i="30248"/>
  <c r="DB108" i="30248"/>
  <c r="CW109" i="30248"/>
  <c r="CX109" i="30248"/>
  <c r="CY109" i="30248"/>
  <c r="CZ109" i="30248"/>
  <c r="FQ109" i="30248" s="1"/>
  <c r="DA109" i="30248"/>
  <c r="DB109" i="30248"/>
  <c r="CW110" i="30248"/>
  <c r="CX110" i="30248"/>
  <c r="CY110" i="30248"/>
  <c r="CZ110" i="30248"/>
  <c r="FQ110" i="30248" s="1"/>
  <c r="DA110" i="30248"/>
  <c r="DB110" i="30248"/>
  <c r="CW111" i="30248"/>
  <c r="CX111" i="30248"/>
  <c r="CY111" i="30248"/>
  <c r="CZ111" i="30248"/>
  <c r="FQ111" i="30248" s="1"/>
  <c r="DA111" i="30248"/>
  <c r="DB111" i="30248"/>
  <c r="CW112" i="30248"/>
  <c r="CX112" i="30248"/>
  <c r="CY112" i="30248"/>
  <c r="CZ112" i="30248"/>
  <c r="FQ112" i="30248" s="1"/>
  <c r="DA112" i="30248"/>
  <c r="DB112" i="30248"/>
  <c r="CW113" i="30248"/>
  <c r="CX113" i="30248"/>
  <c r="CY113" i="30248"/>
  <c r="CZ113" i="30248"/>
  <c r="FQ113" i="30248" s="1"/>
  <c r="DA113" i="30248"/>
  <c r="DB113" i="30248"/>
  <c r="CW114" i="30248"/>
  <c r="CX114" i="30248"/>
  <c r="CY114" i="30248"/>
  <c r="CZ114" i="30248"/>
  <c r="FQ114" i="30248" s="1"/>
  <c r="DA114" i="30248"/>
  <c r="DB114" i="30248"/>
  <c r="CW115" i="30248"/>
  <c r="CX115" i="30248"/>
  <c r="CY115" i="30248"/>
  <c r="CZ115" i="30248"/>
  <c r="FQ115" i="30248" s="1"/>
  <c r="DA115" i="30248"/>
  <c r="DB115" i="30248"/>
  <c r="CW116" i="30248"/>
  <c r="CX116" i="30248"/>
  <c r="CY116" i="30248"/>
  <c r="CZ116" i="30248"/>
  <c r="FQ116" i="30248" s="1"/>
  <c r="DA116" i="30248"/>
  <c r="DB116" i="30248"/>
  <c r="CW117" i="30248"/>
  <c r="CX117" i="30248"/>
  <c r="CY117" i="30248"/>
  <c r="CZ117" i="30248"/>
  <c r="FQ117" i="30248" s="1"/>
  <c r="DA117" i="30248"/>
  <c r="DB117" i="30248"/>
  <c r="CW118" i="30248"/>
  <c r="CX118" i="30248"/>
  <c r="CY118" i="30248"/>
  <c r="CZ118" i="30248"/>
  <c r="FQ118" i="30248" s="1"/>
  <c r="DA118" i="30248"/>
  <c r="DB118" i="30248"/>
  <c r="CW119" i="30248"/>
  <c r="CX119" i="30248"/>
  <c r="CY119" i="30248"/>
  <c r="CZ119" i="30248"/>
  <c r="FQ119" i="30248" s="1"/>
  <c r="DA119" i="30248"/>
  <c r="DB119" i="30248"/>
  <c r="CW120" i="30248"/>
  <c r="CX120" i="30248"/>
  <c r="CY120" i="30248"/>
  <c r="CZ120" i="30248"/>
  <c r="FQ120" i="30248" s="1"/>
  <c r="DA120" i="30248"/>
  <c r="DB120" i="30248"/>
  <c r="CW121" i="30248"/>
  <c r="CX121" i="30248"/>
  <c r="CY121" i="30248"/>
  <c r="CZ121" i="30248"/>
  <c r="FQ121" i="30248" s="1"/>
  <c r="DA121" i="30248"/>
  <c r="DB121" i="30248"/>
  <c r="CW122" i="30248"/>
  <c r="CX122" i="30248"/>
  <c r="CY122" i="30248"/>
  <c r="CZ122" i="30248"/>
  <c r="FQ122" i="30248" s="1"/>
  <c r="DA122" i="30248"/>
  <c r="DB122" i="30248"/>
  <c r="CW123" i="30248"/>
  <c r="CX123" i="30248"/>
  <c r="CY123" i="30248"/>
  <c r="CZ123" i="30248"/>
  <c r="FQ123" i="30248" s="1"/>
  <c r="DA123" i="30248"/>
  <c r="DB123" i="30248"/>
  <c r="CW124" i="30248"/>
  <c r="CX124" i="30248"/>
  <c r="CY124" i="30248"/>
  <c r="CZ124" i="30248"/>
  <c r="FQ124" i="30248" s="1"/>
  <c r="DA124" i="30248"/>
  <c r="DB124" i="30248"/>
  <c r="CW125" i="30248"/>
  <c r="CX125" i="30248"/>
  <c r="CY125" i="30248"/>
  <c r="CZ125" i="30248"/>
  <c r="FQ125" i="30248" s="1"/>
  <c r="DA125" i="30248"/>
  <c r="DB125" i="30248"/>
  <c r="CW126" i="30248"/>
  <c r="CX126" i="30248"/>
  <c r="CY126" i="30248"/>
  <c r="CZ126" i="30248"/>
  <c r="FQ126" i="30248" s="1"/>
  <c r="DA126" i="30248"/>
  <c r="DB126" i="30248"/>
  <c r="CW127" i="30248"/>
  <c r="CX127" i="30248"/>
  <c r="CY127" i="30248"/>
  <c r="CZ127" i="30248"/>
  <c r="FQ127" i="30248" s="1"/>
  <c r="DA127" i="30248"/>
  <c r="DB127" i="30248"/>
  <c r="CW128" i="30248"/>
  <c r="CX128" i="30248"/>
  <c r="CY128" i="30248"/>
  <c r="CZ128" i="30248"/>
  <c r="FQ128" i="30248" s="1"/>
  <c r="DA128" i="30248"/>
  <c r="DB128" i="30248"/>
  <c r="CW129" i="30248"/>
  <c r="CX129" i="30248"/>
  <c r="CY129" i="30248"/>
  <c r="CZ129" i="30248"/>
  <c r="FQ129" i="30248" s="1"/>
  <c r="DA129" i="30248"/>
  <c r="DB129" i="30248"/>
  <c r="DB36" i="30248"/>
  <c r="DA36" i="30248"/>
  <c r="CZ36" i="30248"/>
  <c r="FQ36" i="30248" s="1"/>
  <c r="CY36" i="30248"/>
  <c r="CX36" i="30248"/>
  <c r="CW36" i="30248"/>
  <c r="DB35" i="30248"/>
  <c r="DA35" i="30248"/>
  <c r="CZ35" i="30248"/>
  <c r="FQ35" i="30248" s="1"/>
  <c r="CY35" i="30248"/>
  <c r="CX35" i="30248"/>
  <c r="CW35" i="30248"/>
  <c r="DB34" i="30248"/>
  <c r="DA34" i="30248"/>
  <c r="CZ34" i="30248"/>
  <c r="FQ34" i="30248" s="1"/>
  <c r="CY34" i="30248"/>
  <c r="CX34" i="30248"/>
  <c r="CW34" i="30248"/>
  <c r="DB33" i="30248"/>
  <c r="DA33" i="30248"/>
  <c r="CZ33" i="30248"/>
  <c r="FQ33" i="30248" s="1"/>
  <c r="CY33" i="30248"/>
  <c r="CX33" i="30248"/>
  <c r="CW33" i="30248"/>
  <c r="DB32" i="30248"/>
  <c r="DA32" i="30248"/>
  <c r="CZ32" i="30248"/>
  <c r="FQ32" i="30248" s="1"/>
  <c r="CY32" i="30248"/>
  <c r="CX32" i="30248"/>
  <c r="CW32" i="30248"/>
  <c r="DB31" i="30248"/>
  <c r="DA31" i="30248"/>
  <c r="CZ31" i="30248"/>
  <c r="FQ31" i="30248" s="1"/>
  <c r="CY31" i="30248"/>
  <c r="CX31" i="30248"/>
  <c r="CW31" i="30248"/>
  <c r="DB30" i="30248"/>
  <c r="DA30" i="30248"/>
  <c r="CZ30" i="30248"/>
  <c r="FQ30" i="30248" s="1"/>
  <c r="CY30" i="30248"/>
  <c r="CX30" i="30248"/>
  <c r="CW30" i="30248"/>
  <c r="DB29" i="30248"/>
  <c r="DA29" i="30248"/>
  <c r="CZ29" i="30248"/>
  <c r="FQ29" i="30248" s="1"/>
  <c r="CY29" i="30248"/>
  <c r="CX29" i="30248"/>
  <c r="CW29" i="30248"/>
  <c r="DB28" i="30248"/>
  <c r="DA28" i="30248"/>
  <c r="CZ28" i="30248"/>
  <c r="FQ28" i="30248" s="1"/>
  <c r="CY28" i="30248"/>
  <c r="CX28" i="30248"/>
  <c r="CW28" i="30248"/>
  <c r="DB27" i="30248"/>
  <c r="DA27" i="30248"/>
  <c r="CZ27" i="30248"/>
  <c r="FQ27" i="30248" s="1"/>
  <c r="CY27" i="30248"/>
  <c r="CX27" i="30248"/>
  <c r="CW27" i="30248"/>
  <c r="DB26" i="30248"/>
  <c r="DA26" i="30248"/>
  <c r="CZ26" i="30248"/>
  <c r="FQ26" i="30248" s="1"/>
  <c r="CY26" i="30248"/>
  <c r="CX26" i="30248"/>
  <c r="CW26" i="30248"/>
  <c r="DB25" i="30248"/>
  <c r="DA25" i="30248"/>
  <c r="CZ25" i="30248"/>
  <c r="FQ25" i="30248" s="1"/>
  <c r="CY25" i="30248"/>
  <c r="CX25" i="30248"/>
  <c r="CW25" i="30248"/>
  <c r="DB24" i="30248"/>
  <c r="DA24" i="30248"/>
  <c r="CZ24" i="30248"/>
  <c r="FQ24" i="30248" s="1"/>
  <c r="CY24" i="30248"/>
  <c r="CX24" i="30248"/>
  <c r="CW24" i="30248"/>
  <c r="DB23" i="30248"/>
  <c r="DA23" i="30248"/>
  <c r="CZ23" i="30248"/>
  <c r="FQ23" i="30248" s="1"/>
  <c r="CY23" i="30248"/>
  <c r="CX23" i="30248"/>
  <c r="CW23" i="30248"/>
  <c r="DB22" i="30248"/>
  <c r="DA22" i="30248"/>
  <c r="CZ22" i="30248"/>
  <c r="FQ22" i="30248" s="1"/>
  <c r="CY22" i="30248"/>
  <c r="CX22" i="30248"/>
  <c r="CW22" i="30248"/>
  <c r="DB21" i="30248"/>
  <c r="DA21" i="30248"/>
  <c r="CZ21" i="30248"/>
  <c r="FQ21" i="30248" s="1"/>
  <c r="CY21" i="30248"/>
  <c r="CX21" i="30248"/>
  <c r="CW21" i="30248"/>
  <c r="DB20" i="30248"/>
  <c r="DA20" i="30248"/>
  <c r="CZ20" i="30248"/>
  <c r="FQ20" i="30248" s="1"/>
  <c r="CY20" i="30248"/>
  <c r="CX20" i="30248"/>
  <c r="CW20" i="30248"/>
  <c r="DB19" i="30248"/>
  <c r="DA19" i="30248"/>
  <c r="CZ19" i="30248"/>
  <c r="FQ19" i="30248" s="1"/>
  <c r="CY19" i="30248"/>
  <c r="CX19" i="30248"/>
  <c r="CW19" i="30248"/>
  <c r="DB18" i="30248"/>
  <c r="DA18" i="30248"/>
  <c r="CZ18" i="30248"/>
  <c r="FQ18" i="30248" s="1"/>
  <c r="CY18" i="30248"/>
  <c r="CX18" i="30248"/>
  <c r="CW18" i="30248"/>
  <c r="DB17" i="30248"/>
  <c r="DA17" i="30248"/>
  <c r="CZ17" i="30248"/>
  <c r="FQ17" i="30248" s="1"/>
  <c r="CY17" i="30248"/>
  <c r="CX17" i="30248"/>
  <c r="CW17" i="30248"/>
  <c r="DB16" i="30248"/>
  <c r="DA16" i="30248"/>
  <c r="CZ16" i="30248"/>
  <c r="FQ16" i="30248" s="1"/>
  <c r="CY16" i="30248"/>
  <c r="CX16" i="30248"/>
  <c r="CW16" i="30248"/>
  <c r="DB15" i="30248"/>
  <c r="DA15" i="30248"/>
  <c r="CZ15" i="30248"/>
  <c r="FQ15" i="30248" s="1"/>
  <c r="CY15" i="30248"/>
  <c r="CX15" i="30248"/>
  <c r="CW15" i="30248"/>
  <c r="DB14" i="30248"/>
  <c r="DA14" i="30248"/>
  <c r="CZ14" i="30248"/>
  <c r="FQ14" i="30248" s="1"/>
  <c r="CY14" i="30248"/>
  <c r="CX14" i="30248"/>
  <c r="CW14" i="30248"/>
  <c r="DB13" i="30248"/>
  <c r="DA13" i="30248"/>
  <c r="CZ13" i="30248"/>
  <c r="FQ13" i="30248" s="1"/>
  <c r="CY13" i="30248"/>
  <c r="CX13" i="30248"/>
  <c r="CW13" i="30248"/>
  <c r="DB12" i="30248"/>
  <c r="DA12" i="30248"/>
  <c r="CZ12" i="30248"/>
  <c r="FQ12" i="30248" s="1"/>
  <c r="CY12" i="30248"/>
  <c r="CX12" i="30248"/>
  <c r="CW12" i="30248"/>
  <c r="DB11" i="30248"/>
  <c r="DA11" i="30248"/>
  <c r="CZ11" i="30248"/>
  <c r="FQ11" i="30248" s="1"/>
  <c r="CY11" i="30248"/>
  <c r="CX11" i="30248"/>
  <c r="CW11" i="30248"/>
  <c r="CX10" i="30248"/>
  <c r="CW10" i="30248"/>
  <c r="AZ50" i="30248"/>
  <c r="CW50" i="30248" s="1"/>
  <c r="BA50" i="30248"/>
  <c r="CX50" i="30248" s="1"/>
  <c r="BF50" i="30248"/>
  <c r="DD50" i="30248" s="1"/>
  <c r="BQ50" i="30248"/>
  <c r="AY50" i="30248"/>
  <c r="G8" i="30248"/>
  <c r="H8" i="30248"/>
  <c r="L8" i="30248"/>
  <c r="M8" i="30248"/>
  <c r="N8" i="30248"/>
  <c r="O8" i="30248"/>
  <c r="P8" i="30248"/>
  <c r="Q8" i="30248"/>
  <c r="R8" i="30248"/>
  <c r="S8" i="30248"/>
  <c r="T8" i="30248"/>
  <c r="U8" i="30248"/>
  <c r="V8" i="30248"/>
  <c r="W8" i="30248"/>
  <c r="X8" i="30248"/>
  <c r="Y8" i="30248"/>
  <c r="Z8" i="30248"/>
  <c r="AA8" i="30248"/>
  <c r="AB8" i="30248"/>
  <c r="AC8" i="30248"/>
  <c r="AD8" i="30248"/>
  <c r="AE8" i="30248"/>
  <c r="AF8" i="30248"/>
  <c r="AG8" i="30248"/>
  <c r="BA8" i="30248"/>
  <c r="AL8" i="30248"/>
  <c r="BF8" i="30248"/>
  <c r="AX8" i="30248"/>
  <c r="AY8" i="30248"/>
  <c r="AZ8" i="30248"/>
  <c r="BR8" i="30248"/>
  <c r="BV8" i="30248"/>
  <c r="BY8" i="30248"/>
  <c r="BZ8" i="30248"/>
  <c r="CA8" i="30248"/>
  <c r="CB8" i="30248"/>
  <c r="CC8" i="30248"/>
  <c r="CD8" i="30248"/>
  <c r="CE8" i="30248"/>
  <c r="CF8" i="30248"/>
  <c r="CG8" i="30248"/>
  <c r="CH8" i="30248"/>
  <c r="CI8" i="30248"/>
  <c r="CJ8" i="30248"/>
  <c r="CK8" i="30248"/>
  <c r="CL8" i="30248"/>
  <c r="CM8" i="30248"/>
  <c r="CN8" i="30248"/>
  <c r="CO8" i="30248"/>
  <c r="CP8" i="30248"/>
  <c r="CQ8" i="30248"/>
  <c r="CR8" i="30248"/>
  <c r="CS8" i="30248"/>
  <c r="CT8" i="30248"/>
  <c r="CU8" i="30248"/>
  <c r="CV8" i="30248"/>
  <c r="DU8" i="30248"/>
  <c r="DV8" i="30248"/>
  <c r="EA8" i="30248"/>
  <c r="EC8" i="30248"/>
  <c r="EJ8" i="30248"/>
  <c r="ER8" i="30248"/>
  <c r="EU8" i="30248"/>
  <c r="EV8" i="30248"/>
  <c r="EW8" i="30248"/>
  <c r="EX8" i="30248"/>
  <c r="EY8" i="30248"/>
  <c r="EZ8" i="30248"/>
  <c r="FA8" i="30248"/>
  <c r="FB8" i="30248"/>
  <c r="FC8" i="30248"/>
  <c r="FD8" i="30248"/>
  <c r="FE8" i="30248"/>
  <c r="FF8" i="30248"/>
  <c r="FG8" i="30248"/>
  <c r="FH8" i="30248"/>
  <c r="FI8" i="30248"/>
  <c r="FJ8" i="30248"/>
  <c r="FL8" i="30248"/>
  <c r="G9" i="30248"/>
  <c r="H9" i="30248"/>
  <c r="L9" i="30248"/>
  <c r="M9" i="30248"/>
  <c r="N9" i="30248"/>
  <c r="O9" i="30248"/>
  <c r="P9" i="30248"/>
  <c r="Q9" i="30248"/>
  <c r="R9" i="30248"/>
  <c r="S9" i="30248"/>
  <c r="T9" i="30248"/>
  <c r="U9" i="30248"/>
  <c r="V9" i="30248"/>
  <c r="W9" i="30248"/>
  <c r="X9" i="30248"/>
  <c r="Y9" i="30248"/>
  <c r="Z9" i="30248"/>
  <c r="AA9" i="30248"/>
  <c r="AB9" i="30248"/>
  <c r="AC9" i="30248"/>
  <c r="AD9" i="30248"/>
  <c r="AE9" i="30248"/>
  <c r="AF9" i="30248"/>
  <c r="AG9" i="30248"/>
  <c r="AL9" i="30248"/>
  <c r="BF9" i="30248"/>
  <c r="AX9" i="30248"/>
  <c r="AY9" i="30248"/>
  <c r="AZ9" i="30248"/>
  <c r="BA9" i="30248"/>
  <c r="BR9" i="30248"/>
  <c r="BV9" i="30248"/>
  <c r="BY9" i="30248"/>
  <c r="BZ9" i="30248"/>
  <c r="CA9" i="30248"/>
  <c r="CB9" i="30248"/>
  <c r="CC9" i="30248"/>
  <c r="CD9" i="30248"/>
  <c r="CE9" i="30248"/>
  <c r="CF9" i="30248"/>
  <c r="CG9" i="30248"/>
  <c r="CH9" i="30248"/>
  <c r="CI9" i="30248"/>
  <c r="CJ9" i="30248"/>
  <c r="CK9" i="30248"/>
  <c r="CL9" i="30248"/>
  <c r="CM9" i="30248"/>
  <c r="CN9" i="30248"/>
  <c r="CO9" i="30248"/>
  <c r="CP9" i="30248"/>
  <c r="CQ9" i="30248"/>
  <c r="CR9" i="30248"/>
  <c r="CS9" i="30248"/>
  <c r="CT9" i="30248"/>
  <c r="CU9" i="30248"/>
  <c r="CV9" i="30248"/>
  <c r="DQ9" i="30248"/>
  <c r="DU9" i="30248"/>
  <c r="DV9" i="30248"/>
  <c r="EA9" i="30248"/>
  <c r="EC9" i="30248"/>
  <c r="EJ9" i="30248"/>
  <c r="ER9" i="30248"/>
  <c r="EU9" i="30248"/>
  <c r="EV9" i="30248"/>
  <c r="EW9" i="30248"/>
  <c r="EX9" i="30248"/>
  <c r="EY9" i="30248"/>
  <c r="EZ9" i="30248"/>
  <c r="FA9" i="30248"/>
  <c r="FB9" i="30248"/>
  <c r="FC9" i="30248"/>
  <c r="FD9" i="30248"/>
  <c r="FE9" i="30248"/>
  <c r="FF9" i="30248"/>
  <c r="FG9" i="30248"/>
  <c r="FH9" i="30248"/>
  <c r="FI9" i="30248"/>
  <c r="FJ9" i="30248"/>
  <c r="FL9" i="30248"/>
  <c r="C9" i="30248"/>
  <c r="C8" i="30248"/>
  <c r="EI145" i="30248"/>
  <c r="DW145" i="30248"/>
  <c r="DW163" i="30248"/>
  <c r="EI129" i="30248"/>
  <c r="DZ129" i="30248"/>
  <c r="DY129" i="30248"/>
  <c r="EI128" i="30248"/>
  <c r="DZ128" i="30248"/>
  <c r="DY128" i="30248"/>
  <c r="EI127" i="30248"/>
  <c r="EI126" i="30248"/>
  <c r="EI125" i="30248"/>
  <c r="EI124" i="30248"/>
  <c r="EI121" i="30248"/>
  <c r="EI117" i="30248"/>
  <c r="EI115" i="30248"/>
  <c r="EI114" i="30248"/>
  <c r="EI108" i="30248"/>
  <c r="EI103" i="30248"/>
  <c r="EI99" i="30248"/>
  <c r="EI100" i="30248"/>
  <c r="EI57" i="30248"/>
  <c r="EH57" i="30248"/>
  <c r="EI84" i="30248"/>
  <c r="EH84" i="30248"/>
  <c r="EC84" i="30248"/>
  <c r="EI48" i="30248"/>
  <c r="EH48" i="30248"/>
  <c r="EI47" i="30248"/>
  <c r="EH47" i="30248"/>
  <c r="EH50" i="30248"/>
  <c r="EI49" i="30248"/>
  <c r="EH49" i="30248"/>
  <c r="EI40" i="30248"/>
  <c r="EH40" i="30248"/>
  <c r="EI15" i="30248"/>
  <c r="EH15" i="30248"/>
  <c r="EB15" i="30248"/>
  <c r="EI16" i="30248"/>
  <c r="EH16" i="30248"/>
  <c r="EB16" i="30248"/>
  <c r="EI63" i="30248"/>
  <c r="EH63" i="30248"/>
  <c r="EI45" i="30248"/>
  <c r="EH45" i="30248"/>
  <c r="EI71" i="30248"/>
  <c r="EH71" i="30248"/>
  <c r="EI60" i="30248"/>
  <c r="EH60" i="30248"/>
  <c r="EI19" i="30248"/>
  <c r="EH19" i="30248"/>
  <c r="EI10" i="30248"/>
  <c r="DW10" i="30248"/>
  <c r="EI94" i="30248"/>
  <c r="EH94" i="30248"/>
  <c r="EI93" i="30248"/>
  <c r="EH93" i="30248"/>
  <c r="EI36" i="30248"/>
  <c r="EH36" i="30248"/>
  <c r="EI31" i="30248"/>
  <c r="EH31" i="30248"/>
  <c r="EC31" i="30248"/>
  <c r="EI28" i="30248"/>
  <c r="EH28" i="30248"/>
  <c r="EC28" i="30248"/>
  <c r="DZ28" i="30248"/>
  <c r="DY28" i="30248"/>
  <c r="EI11" i="30248"/>
  <c r="EH11" i="30248"/>
  <c r="EB11" i="30248"/>
  <c r="DW11" i="30248"/>
  <c r="EI83" i="30248"/>
  <c r="EH83" i="30248"/>
  <c r="EC83" i="30248"/>
  <c r="EI25" i="30248"/>
  <c r="EH25" i="30248"/>
  <c r="EC25" i="30248"/>
  <c r="EI91" i="30248"/>
  <c r="EH91" i="30248"/>
  <c r="EI70" i="30248"/>
  <c r="EI9" i="30248" s="1"/>
  <c r="EH70" i="30248"/>
  <c r="EH9" i="30248" s="1"/>
  <c r="EG9" i="30248"/>
  <c r="EI24" i="30248"/>
  <c r="EI8" i="30248" s="1"/>
  <c r="EH24" i="30248"/>
  <c r="EH8" i="30248" s="1"/>
  <c r="EG8" i="30248"/>
  <c r="EI12" i="30248"/>
  <c r="EH12" i="30248"/>
  <c r="EB12" i="30248"/>
  <c r="DX12" i="30248"/>
  <c r="DW12" i="30248" s="1"/>
  <c r="DW136" i="30248"/>
  <c r="EN162" i="30248"/>
  <c r="DW162" i="30248"/>
  <c r="EN161" i="30248"/>
  <c r="DW161" i="30248"/>
  <c r="DW166" i="30248"/>
  <c r="DW165" i="30248"/>
  <c r="EI160" i="30248"/>
  <c r="DW160" i="30248"/>
  <c r="EI159" i="30248"/>
  <c r="DW159" i="30248"/>
  <c r="EI158" i="30248"/>
  <c r="DW158" i="30248"/>
  <c r="EI157" i="30248"/>
  <c r="DW157" i="30248"/>
  <c r="EQ144" i="30248"/>
  <c r="EQ141" i="30248" s="1"/>
  <c r="EI144" i="30248"/>
  <c r="DW144" i="30248"/>
  <c r="EP143" i="30248"/>
  <c r="EP141" i="30248" s="1"/>
  <c r="EO143" i="30248"/>
  <c r="EO138" i="30248" s="1"/>
  <c r="EN143" i="30248"/>
  <c r="EI143" i="30248"/>
  <c r="DW143" i="30248"/>
  <c r="EI142" i="30248"/>
  <c r="DW142" i="30248"/>
  <c r="EI130" i="30248"/>
  <c r="DW130" i="30248"/>
  <c r="D130" i="30248"/>
  <c r="EI135" i="30248"/>
  <c r="DZ135" i="30248"/>
  <c r="DY135" i="30248"/>
  <c r="DW135" i="30248"/>
  <c r="F135" i="30248"/>
  <c r="D135" i="30248"/>
  <c r="EI134" i="30248"/>
  <c r="DW134" i="30248"/>
  <c r="I134" i="30248"/>
  <c r="EI133" i="30248"/>
  <c r="DY133" i="30248"/>
  <c r="F133" i="30248" s="1"/>
  <c r="DW133" i="30248"/>
  <c r="E133" i="30248"/>
  <c r="D133" i="30248"/>
  <c r="EI132" i="30248"/>
  <c r="DZ132" i="30248"/>
  <c r="DY132" i="30248"/>
  <c r="DW132" i="30248"/>
  <c r="F132" i="30248"/>
  <c r="D132" i="30248"/>
  <c r="EI131" i="30248"/>
  <c r="DW131" i="30248"/>
  <c r="I131" i="30248"/>
  <c r="E131" i="30248"/>
  <c r="F131" i="30248" s="1"/>
  <c r="D131" i="30248"/>
  <c r="DW156" i="30248"/>
  <c r="DW155" i="30248"/>
  <c r="DW154" i="30248"/>
  <c r="DW153" i="30248"/>
  <c r="DW152" i="30248"/>
  <c r="DW151" i="30248"/>
  <c r="DW150" i="30248"/>
  <c r="DW149" i="30248"/>
  <c r="FD148" i="30248"/>
  <c r="EI148" i="30248"/>
  <c r="DW148" i="30248"/>
  <c r="EI137" i="30248"/>
  <c r="EI147" i="30248"/>
  <c r="DW147" i="30248"/>
  <c r="EI146" i="30248"/>
  <c r="BT146" i="30248"/>
  <c r="BT147" i="30248" s="1"/>
  <c r="BW146" i="30248"/>
  <c r="BW147" i="30248" s="1"/>
  <c r="DW146" i="30248"/>
  <c r="EZ138" i="30248"/>
  <c r="DV228" i="30248"/>
  <c r="DW227" i="30248"/>
  <c r="DW226" i="30248"/>
  <c r="DV226" i="30248"/>
  <c r="DW225" i="30248"/>
  <c r="DV224" i="30248"/>
  <c r="DV223" i="30248"/>
  <c r="DV222" i="30248"/>
  <c r="EI187" i="30248"/>
  <c r="EI141" i="30248"/>
  <c r="DW141" i="30248"/>
  <c r="EI140" i="30248"/>
  <c r="EH140" i="30248"/>
  <c r="DW140" i="30248"/>
  <c r="EI139" i="30248"/>
  <c r="EH139" i="30248"/>
  <c r="DW139" i="30248"/>
  <c r="EI138" i="30248"/>
  <c r="DW138" i="30248"/>
  <c r="EI123" i="30248"/>
  <c r="EI113" i="30248"/>
  <c r="EI112" i="30248"/>
  <c r="EI111" i="30248"/>
  <c r="DZ111" i="30248"/>
  <c r="DY111" i="30248"/>
  <c r="EI110" i="30248"/>
  <c r="EI109" i="30248"/>
  <c r="DY109" i="30248"/>
  <c r="DZ109" i="30248" s="1"/>
  <c r="EI107" i="30248"/>
  <c r="EI106" i="30248"/>
  <c r="DZ106" i="30248"/>
  <c r="DY106" i="30248"/>
  <c r="EI105" i="30248"/>
  <c r="DZ105" i="30248"/>
  <c r="DY105" i="30248"/>
  <c r="EI104" i="30248"/>
  <c r="EI102" i="30248"/>
  <c r="EI101" i="30248"/>
  <c r="EI98" i="30248"/>
  <c r="EI97" i="30248"/>
  <c r="EI96" i="30248"/>
  <c r="EI95" i="30248"/>
  <c r="EP92" i="30248"/>
  <c r="EO92" i="30248"/>
  <c r="EN92" i="30248"/>
  <c r="EM92" i="30248"/>
  <c r="EL92" i="30248"/>
  <c r="EK92" i="30248"/>
  <c r="EI92" i="30248"/>
  <c r="EI90" i="30248"/>
  <c r="EI89" i="30248"/>
  <c r="EI88" i="30248"/>
  <c r="EI87" i="30248"/>
  <c r="EI86" i="30248"/>
  <c r="EI85" i="30248"/>
  <c r="EI82" i="30248"/>
  <c r="EI81" i="30248"/>
  <c r="EI80" i="30248"/>
  <c r="EH78" i="30248"/>
  <c r="EH77" i="30248"/>
  <c r="EC77" i="30248"/>
  <c r="EH79" i="30248"/>
  <c r="EH177" i="30248" s="1"/>
  <c r="EI78" i="30248"/>
  <c r="DY107" i="30248"/>
  <c r="EI79" i="30248"/>
  <c r="EI177" i="30248" s="1"/>
  <c r="EI77" i="30248"/>
  <c r="DZ107" i="30248"/>
  <c r="DB55" i="30248" l="1"/>
  <c r="FQ172" i="30248"/>
  <c r="DZ133" i="30248"/>
  <c r="FP187" i="30248"/>
  <c r="FM187" i="30248"/>
  <c r="FQ187" i="30248"/>
  <c r="FN187" i="30248"/>
  <c r="FO187" i="30248"/>
  <c r="CY9" i="30248"/>
  <c r="FP169" i="30248"/>
  <c r="FP167" i="30248"/>
  <c r="FN30" i="30248"/>
  <c r="FN34" i="30248"/>
  <c r="FN101" i="30248"/>
  <c r="FN97" i="30248"/>
  <c r="FN93" i="30248"/>
  <c r="FN89" i="30248"/>
  <c r="FN85" i="30248"/>
  <c r="FN81" i="30248"/>
  <c r="FN12" i="30248"/>
  <c r="FN16" i="30248"/>
  <c r="FN20" i="30248"/>
  <c r="FN24" i="30248"/>
  <c r="FN8" i="30248" s="1"/>
  <c r="FN28" i="30248"/>
  <c r="FN32" i="30248"/>
  <c r="FN36" i="30248"/>
  <c r="FN75" i="30248"/>
  <c r="FN67" i="30248"/>
  <c r="FN63" i="30248"/>
  <c r="FN59" i="30248"/>
  <c r="FN55" i="30248"/>
  <c r="FN51" i="30248"/>
  <c r="FN46" i="30248"/>
  <c r="FN42" i="30248"/>
  <c r="FN38" i="30248"/>
  <c r="FN185" i="30248"/>
  <c r="FN164" i="30248"/>
  <c r="FN160" i="30248"/>
  <c r="FN156" i="30248"/>
  <c r="FN148" i="30248"/>
  <c r="FN144" i="30248"/>
  <c r="FN140" i="30248"/>
  <c r="FN136" i="30248"/>
  <c r="FN132" i="30248"/>
  <c r="FN167" i="30248"/>
  <c r="FN181" i="30248"/>
  <c r="FN14" i="30248"/>
  <c r="FN18" i="30248"/>
  <c r="FN22" i="30248"/>
  <c r="FN129" i="30248"/>
  <c r="FN125" i="30248"/>
  <c r="FN121" i="30248"/>
  <c r="FN117" i="30248"/>
  <c r="FN113" i="30248"/>
  <c r="FN109" i="30248"/>
  <c r="FN105" i="30248"/>
  <c r="FN169" i="30248"/>
  <c r="FN11" i="30248"/>
  <c r="FN15" i="30248"/>
  <c r="FN19" i="30248"/>
  <c r="FN23" i="30248"/>
  <c r="FN27" i="30248"/>
  <c r="FN31" i="30248"/>
  <c r="FN35" i="30248"/>
  <c r="FN174" i="30248"/>
  <c r="FN152" i="30248"/>
  <c r="FP50" i="30248"/>
  <c r="FN78" i="30248"/>
  <c r="FN74" i="30248"/>
  <c r="FN70" i="30248"/>
  <c r="FN9" i="30248" s="1"/>
  <c r="FN66" i="30248"/>
  <c r="FN62" i="30248"/>
  <c r="FN58" i="30248"/>
  <c r="FN54" i="30248"/>
  <c r="FN49" i="30248"/>
  <c r="FN45" i="30248"/>
  <c r="FN41" i="30248"/>
  <c r="FN37" i="30248"/>
  <c r="FN184" i="30248"/>
  <c r="FN180" i="30248"/>
  <c r="FN173" i="30248"/>
  <c r="FN163" i="30248"/>
  <c r="FN159" i="30248"/>
  <c r="FN155" i="30248"/>
  <c r="FN151" i="30248"/>
  <c r="FN147" i="30248"/>
  <c r="FN143" i="30248"/>
  <c r="FN139" i="30248"/>
  <c r="FN135" i="30248"/>
  <c r="FN131" i="30248"/>
  <c r="DG8" i="30248"/>
  <c r="FN71" i="30248"/>
  <c r="DE170" i="30248"/>
  <c r="FN171" i="30248"/>
  <c r="FN26" i="30248"/>
  <c r="FN76" i="30248"/>
  <c r="FN72" i="30248"/>
  <c r="FN68" i="30248"/>
  <c r="FN64" i="30248"/>
  <c r="FN60" i="30248"/>
  <c r="FN56" i="30248"/>
  <c r="FN52" i="30248"/>
  <c r="FN47" i="30248"/>
  <c r="FN43" i="30248"/>
  <c r="FN39" i="30248"/>
  <c r="FN186" i="30248"/>
  <c r="FN182" i="30248"/>
  <c r="FN178" i="30248"/>
  <c r="FN165" i="30248"/>
  <c r="FN161" i="30248"/>
  <c r="FN157" i="30248"/>
  <c r="FN153" i="30248"/>
  <c r="FN149" i="30248"/>
  <c r="FN145" i="30248"/>
  <c r="FN141" i="30248"/>
  <c r="FN137" i="30248"/>
  <c r="FN133" i="30248"/>
  <c r="FP185" i="30248"/>
  <c r="FP174" i="30248"/>
  <c r="FP160" i="30248"/>
  <c r="FP152" i="30248"/>
  <c r="FP144" i="30248"/>
  <c r="FP136" i="30248"/>
  <c r="FP128" i="30248"/>
  <c r="FP120" i="30248"/>
  <c r="FP112" i="30248"/>
  <c r="FP104" i="30248"/>
  <c r="FP96" i="30248"/>
  <c r="FP88" i="30248"/>
  <c r="FP80" i="30248"/>
  <c r="FP72" i="30248"/>
  <c r="FP64" i="30248"/>
  <c r="FP56" i="30248"/>
  <c r="FP47" i="30248"/>
  <c r="FP39" i="30248"/>
  <c r="FP31" i="30248"/>
  <c r="FP23" i="30248"/>
  <c r="FP15" i="30248"/>
  <c r="FN77" i="30248"/>
  <c r="FN73" i="30248"/>
  <c r="FN69" i="30248"/>
  <c r="FN65" i="30248"/>
  <c r="FN61" i="30248"/>
  <c r="FN57" i="30248"/>
  <c r="FP179" i="30248"/>
  <c r="FP162" i="30248"/>
  <c r="FP154" i="30248"/>
  <c r="FP146" i="30248"/>
  <c r="FP138" i="30248"/>
  <c r="FP130" i="30248"/>
  <c r="EP146" i="30248"/>
  <c r="FO149" i="30248"/>
  <c r="FM149" i="30248"/>
  <c r="FM109" i="30248"/>
  <c r="FO109" i="30248"/>
  <c r="FM53" i="30248"/>
  <c r="FO53" i="30248"/>
  <c r="FO36" i="30248"/>
  <c r="FM36" i="30248"/>
  <c r="FO28" i="30248"/>
  <c r="FM28" i="30248"/>
  <c r="FO20" i="30248"/>
  <c r="FM20" i="30248"/>
  <c r="FN127" i="30248"/>
  <c r="FN123" i="30248"/>
  <c r="FN119" i="30248"/>
  <c r="FN115" i="30248"/>
  <c r="FN111" i="30248"/>
  <c r="FN107" i="30248"/>
  <c r="FN103" i="30248"/>
  <c r="FN99" i="30248"/>
  <c r="FN95" i="30248"/>
  <c r="FN91" i="30248"/>
  <c r="FN87" i="30248"/>
  <c r="FN83" i="30248"/>
  <c r="DE79" i="30248"/>
  <c r="DE177" i="30248" s="1"/>
  <c r="DD177" i="30248"/>
  <c r="FP184" i="30248"/>
  <c r="FO181" i="30248"/>
  <c r="FM181" i="30248"/>
  <c r="FP173" i="30248"/>
  <c r="FM164" i="30248"/>
  <c r="FO164" i="30248"/>
  <c r="FP159" i="30248"/>
  <c r="FM156" i="30248"/>
  <c r="FO156" i="30248"/>
  <c r="FP151" i="30248"/>
  <c r="FM148" i="30248"/>
  <c r="FO148" i="30248"/>
  <c r="FP143" i="30248"/>
  <c r="FM140" i="30248"/>
  <c r="FO140" i="30248"/>
  <c r="FP135" i="30248"/>
  <c r="FM132" i="30248"/>
  <c r="FO132" i="30248"/>
  <c r="FO124" i="30248"/>
  <c r="FM124" i="30248"/>
  <c r="FP119" i="30248"/>
  <c r="FO116" i="30248"/>
  <c r="FM116" i="30248"/>
  <c r="FP111" i="30248"/>
  <c r="FO108" i="30248"/>
  <c r="FM108" i="30248"/>
  <c r="FP103" i="30248"/>
  <c r="FO100" i="30248"/>
  <c r="FM100" i="30248"/>
  <c r="FP95" i="30248"/>
  <c r="FO92" i="30248"/>
  <c r="FM92" i="30248"/>
  <c r="FP87" i="30248"/>
  <c r="FO84" i="30248"/>
  <c r="FM84" i="30248"/>
  <c r="FP79" i="30248"/>
  <c r="DG177" i="30248"/>
  <c r="FO76" i="30248"/>
  <c r="FM76" i="30248"/>
  <c r="FP71" i="30248"/>
  <c r="FO68" i="30248"/>
  <c r="FM68" i="30248"/>
  <c r="FP63" i="30248"/>
  <c r="FO60" i="30248"/>
  <c r="FM60" i="30248"/>
  <c r="FP55" i="30248"/>
  <c r="FO52" i="30248"/>
  <c r="FM52" i="30248"/>
  <c r="FP46" i="30248"/>
  <c r="FM43" i="30248"/>
  <c r="FO43" i="30248"/>
  <c r="FP38" i="30248"/>
  <c r="FM35" i="30248"/>
  <c r="FO35" i="30248"/>
  <c r="FP30" i="30248"/>
  <c r="FM27" i="30248"/>
  <c r="FO27" i="30248"/>
  <c r="FP22" i="30248"/>
  <c r="FM19" i="30248"/>
  <c r="FO19" i="30248"/>
  <c r="FP14" i="30248"/>
  <c r="FM11" i="30248"/>
  <c r="FO11" i="30248"/>
  <c r="FM171" i="30248"/>
  <c r="FO171" i="30248"/>
  <c r="FM117" i="30248"/>
  <c r="FO117" i="30248"/>
  <c r="FM186" i="30248"/>
  <c r="FO186" i="30248"/>
  <c r="FP181" i="30248"/>
  <c r="FM178" i="30248"/>
  <c r="FO178" i="30248"/>
  <c r="FP164" i="30248"/>
  <c r="FM161" i="30248"/>
  <c r="FO161" i="30248"/>
  <c r="FP156" i="30248"/>
  <c r="FM153" i="30248"/>
  <c r="FO153" i="30248"/>
  <c r="FP148" i="30248"/>
  <c r="FM145" i="30248"/>
  <c r="FO145" i="30248"/>
  <c r="FP140" i="30248"/>
  <c r="FM137" i="30248"/>
  <c r="FO137" i="30248"/>
  <c r="FP132" i="30248"/>
  <c r="FM129" i="30248"/>
  <c r="FO129" i="30248"/>
  <c r="FP124" i="30248"/>
  <c r="FM121" i="30248"/>
  <c r="FO121" i="30248"/>
  <c r="FP116" i="30248"/>
  <c r="FO113" i="30248"/>
  <c r="FM113" i="30248"/>
  <c r="FP108" i="30248"/>
  <c r="FO105" i="30248"/>
  <c r="FM105" i="30248"/>
  <c r="FP100" i="30248"/>
  <c r="FM97" i="30248"/>
  <c r="FO97" i="30248"/>
  <c r="FP92" i="30248"/>
  <c r="FO89" i="30248"/>
  <c r="FM89" i="30248"/>
  <c r="FP84" i="30248"/>
  <c r="FM81" i="30248"/>
  <c r="FO81" i="30248"/>
  <c r="FP76" i="30248"/>
  <c r="FM73" i="30248"/>
  <c r="FO73" i="30248"/>
  <c r="FP68" i="30248"/>
  <c r="FM65" i="30248"/>
  <c r="FO65" i="30248"/>
  <c r="FP60" i="30248"/>
  <c r="FM57" i="30248"/>
  <c r="FO57" i="30248"/>
  <c r="FP52" i="30248"/>
  <c r="FM48" i="30248"/>
  <c r="FO48" i="30248"/>
  <c r="FP43" i="30248"/>
  <c r="FM40" i="30248"/>
  <c r="FO40" i="30248"/>
  <c r="FP35" i="30248"/>
  <c r="FM32" i="30248"/>
  <c r="FO32" i="30248"/>
  <c r="FP27" i="30248"/>
  <c r="FM24" i="30248"/>
  <c r="FM8" i="30248" s="1"/>
  <c r="FO24" i="30248"/>
  <c r="FP19" i="30248"/>
  <c r="FM16" i="30248"/>
  <c r="FO16" i="30248"/>
  <c r="FP11" i="30248"/>
  <c r="FM172" i="30248"/>
  <c r="FO172" i="30248"/>
  <c r="FO170" i="30248"/>
  <c r="FM170" i="30248"/>
  <c r="FO165" i="30248"/>
  <c r="FM165" i="30248"/>
  <c r="FO157" i="30248"/>
  <c r="FM157" i="30248"/>
  <c r="FO168" i="30248"/>
  <c r="FM168" i="30248"/>
  <c r="CW9" i="30248"/>
  <c r="FN128" i="30248"/>
  <c r="FN124" i="30248"/>
  <c r="FN120" i="30248"/>
  <c r="FN116" i="30248"/>
  <c r="FN112" i="30248"/>
  <c r="FN108" i="30248"/>
  <c r="FN104" i="30248"/>
  <c r="FN100" i="30248"/>
  <c r="FN96" i="30248"/>
  <c r="FN92" i="30248"/>
  <c r="FN88" i="30248"/>
  <c r="FN84" i="30248"/>
  <c r="FN80" i="30248"/>
  <c r="FQ134" i="30248"/>
  <c r="FP186" i="30248"/>
  <c r="FM183" i="30248"/>
  <c r="FO183" i="30248"/>
  <c r="FP178" i="30248"/>
  <c r="FM166" i="30248"/>
  <c r="FO166" i="30248"/>
  <c r="FP161" i="30248"/>
  <c r="FM158" i="30248"/>
  <c r="FO158" i="30248"/>
  <c r="FP153" i="30248"/>
  <c r="FM150" i="30248"/>
  <c r="FO150" i="30248"/>
  <c r="FP145" i="30248"/>
  <c r="FM142" i="30248"/>
  <c r="FO142" i="30248"/>
  <c r="FP137" i="30248"/>
  <c r="FO134" i="30248"/>
  <c r="FM134" i="30248"/>
  <c r="FP129" i="30248"/>
  <c r="FM126" i="30248"/>
  <c r="FO126" i="30248"/>
  <c r="FP121" i="30248"/>
  <c r="FM118" i="30248"/>
  <c r="FO118" i="30248"/>
  <c r="FP113" i="30248"/>
  <c r="FM110" i="30248"/>
  <c r="FO110" i="30248"/>
  <c r="FP105" i="30248"/>
  <c r="FM102" i="30248"/>
  <c r="FO102" i="30248"/>
  <c r="FP97" i="30248"/>
  <c r="FM94" i="30248"/>
  <c r="FO94" i="30248"/>
  <c r="FP89" i="30248"/>
  <c r="FM86" i="30248"/>
  <c r="FO86" i="30248"/>
  <c r="FP81" i="30248"/>
  <c r="FM78" i="30248"/>
  <c r="FO78" i="30248"/>
  <c r="FP73" i="30248"/>
  <c r="FM70" i="30248"/>
  <c r="FM9" i="30248" s="1"/>
  <c r="FO70" i="30248"/>
  <c r="FP65" i="30248"/>
  <c r="FM62" i="30248"/>
  <c r="FO62" i="30248"/>
  <c r="FP57" i="30248"/>
  <c r="FM54" i="30248"/>
  <c r="FO54" i="30248"/>
  <c r="FP48" i="30248"/>
  <c r="FM45" i="30248"/>
  <c r="FO45" i="30248"/>
  <c r="FP40" i="30248"/>
  <c r="FM37" i="30248"/>
  <c r="FO37" i="30248"/>
  <c r="FP32" i="30248"/>
  <c r="FM29" i="30248"/>
  <c r="FO29" i="30248"/>
  <c r="FP24" i="30248"/>
  <c r="FM21" i="30248"/>
  <c r="FO21" i="30248"/>
  <c r="FP16" i="30248"/>
  <c r="FM13" i="30248"/>
  <c r="FO13" i="30248"/>
  <c r="EO139" i="30248"/>
  <c r="FM50" i="30248"/>
  <c r="FO50" i="30248"/>
  <c r="FP10" i="30248"/>
  <c r="FM125" i="30248"/>
  <c r="FO125" i="30248"/>
  <c r="FM101" i="30248"/>
  <c r="FO101" i="30248"/>
  <c r="FM77" i="30248"/>
  <c r="FO77" i="30248"/>
  <c r="FO44" i="30248"/>
  <c r="FM44" i="30248"/>
  <c r="FN13" i="30248"/>
  <c r="FN17" i="30248"/>
  <c r="FN21" i="30248"/>
  <c r="FN25" i="30248"/>
  <c r="FN29" i="30248"/>
  <c r="FN33" i="30248"/>
  <c r="FN53" i="30248"/>
  <c r="FN48" i="30248"/>
  <c r="FN44" i="30248"/>
  <c r="FN40" i="30248"/>
  <c r="FN183" i="30248"/>
  <c r="FN179" i="30248"/>
  <c r="FN166" i="30248"/>
  <c r="FN162" i="30248"/>
  <c r="FN158" i="30248"/>
  <c r="FN154" i="30248"/>
  <c r="FN150" i="30248"/>
  <c r="FN146" i="30248"/>
  <c r="FN142" i="30248"/>
  <c r="FN138" i="30248"/>
  <c r="FN134" i="30248"/>
  <c r="FN130" i="30248"/>
  <c r="FP183" i="30248"/>
  <c r="FM180" i="30248"/>
  <c r="FO180" i="30248"/>
  <c r="FP166" i="30248"/>
  <c r="FM163" i="30248"/>
  <c r="FO163" i="30248"/>
  <c r="FP158" i="30248"/>
  <c r="FM155" i="30248"/>
  <c r="FO155" i="30248"/>
  <c r="FP150" i="30248"/>
  <c r="FM147" i="30248"/>
  <c r="FO147" i="30248"/>
  <c r="FP142" i="30248"/>
  <c r="FM139" i="30248"/>
  <c r="FO139" i="30248"/>
  <c r="FP134" i="30248"/>
  <c r="FO131" i="30248"/>
  <c r="FM131" i="30248"/>
  <c r="FP126" i="30248"/>
  <c r="FM123" i="30248"/>
  <c r="FO123" i="30248"/>
  <c r="FP118" i="30248"/>
  <c r="FM115" i="30248"/>
  <c r="FO115" i="30248"/>
  <c r="FP110" i="30248"/>
  <c r="FM107" i="30248"/>
  <c r="FO107" i="30248"/>
  <c r="FP102" i="30248"/>
  <c r="FM99" i="30248"/>
  <c r="FO99" i="30248"/>
  <c r="FP94" i="30248"/>
  <c r="FM91" i="30248"/>
  <c r="FO91" i="30248"/>
  <c r="FP86" i="30248"/>
  <c r="FM83" i="30248"/>
  <c r="FO83" i="30248"/>
  <c r="FP78" i="30248"/>
  <c r="FM75" i="30248"/>
  <c r="FO75" i="30248"/>
  <c r="FP70" i="30248"/>
  <c r="FM67" i="30248"/>
  <c r="FO67" i="30248"/>
  <c r="FP62" i="30248"/>
  <c r="FM59" i="30248"/>
  <c r="FO59" i="30248"/>
  <c r="FP54" i="30248"/>
  <c r="FM51" i="30248"/>
  <c r="FO51" i="30248"/>
  <c r="FP45" i="30248"/>
  <c r="FM42" i="30248"/>
  <c r="FO42" i="30248"/>
  <c r="FP37" i="30248"/>
  <c r="FM34" i="30248"/>
  <c r="FO34" i="30248"/>
  <c r="FP29" i="30248"/>
  <c r="FM26" i="30248"/>
  <c r="FO26" i="30248"/>
  <c r="FP21" i="30248"/>
  <c r="FM18" i="30248"/>
  <c r="FO18" i="30248"/>
  <c r="FP13" i="30248"/>
  <c r="FM167" i="30248"/>
  <c r="FO167" i="30248"/>
  <c r="FM169" i="30248"/>
  <c r="FO169" i="30248"/>
  <c r="FN50" i="30248"/>
  <c r="FP171" i="30248"/>
  <c r="FM133" i="30248"/>
  <c r="FO133" i="30248"/>
  <c r="FM93" i="30248"/>
  <c r="FO93" i="30248"/>
  <c r="FQ131" i="30248"/>
  <c r="FM185" i="30248"/>
  <c r="FO185" i="30248"/>
  <c r="FP180" i="30248"/>
  <c r="FM174" i="30248"/>
  <c r="FO174" i="30248"/>
  <c r="FP163" i="30248"/>
  <c r="FO160" i="30248"/>
  <c r="FM160" i="30248"/>
  <c r="FP155" i="30248"/>
  <c r="FO152" i="30248"/>
  <c r="FM152" i="30248"/>
  <c r="FP147" i="30248"/>
  <c r="FO144" i="30248"/>
  <c r="FM144" i="30248"/>
  <c r="FP139" i="30248"/>
  <c r="FO136" i="30248"/>
  <c r="FM136" i="30248"/>
  <c r="FP131" i="30248"/>
  <c r="FP123" i="30248"/>
  <c r="FM120" i="30248"/>
  <c r="FO120" i="30248"/>
  <c r="FP115" i="30248"/>
  <c r="FM112" i="30248"/>
  <c r="FO112" i="30248"/>
  <c r="FP107" i="30248"/>
  <c r="FM104" i="30248"/>
  <c r="FO104" i="30248"/>
  <c r="FP99" i="30248"/>
  <c r="FM96" i="30248"/>
  <c r="FO96" i="30248"/>
  <c r="FP91" i="30248"/>
  <c r="FM88" i="30248"/>
  <c r="FO88" i="30248"/>
  <c r="FP83" i="30248"/>
  <c r="FM80" i="30248"/>
  <c r="FO80" i="30248"/>
  <c r="FP75" i="30248"/>
  <c r="FM72" i="30248"/>
  <c r="FO72" i="30248"/>
  <c r="FP67" i="30248"/>
  <c r="FM64" i="30248"/>
  <c r="FO64" i="30248"/>
  <c r="FP59" i="30248"/>
  <c r="FM56" i="30248"/>
  <c r="FO56" i="30248"/>
  <c r="FP51" i="30248"/>
  <c r="FO47" i="30248"/>
  <c r="FM47" i="30248"/>
  <c r="FP42" i="30248"/>
  <c r="FO39" i="30248"/>
  <c r="FM39" i="30248"/>
  <c r="FP34" i="30248"/>
  <c r="FO31" i="30248"/>
  <c r="FM31" i="30248"/>
  <c r="FP26" i="30248"/>
  <c r="FO23" i="30248"/>
  <c r="FM23" i="30248"/>
  <c r="FP18" i="30248"/>
  <c r="FO15" i="30248"/>
  <c r="FM15" i="30248"/>
  <c r="FN170" i="30248"/>
  <c r="DE171" i="30248"/>
  <c r="FN10" i="30248"/>
  <c r="FP170" i="30248"/>
  <c r="FM61" i="30248"/>
  <c r="FO61" i="30248"/>
  <c r="FO12" i="30248"/>
  <c r="FM12" i="30248"/>
  <c r="FN126" i="30248"/>
  <c r="FN122" i="30248"/>
  <c r="FN118" i="30248"/>
  <c r="FN114" i="30248"/>
  <c r="FN110" i="30248"/>
  <c r="FN106" i="30248"/>
  <c r="FN102" i="30248"/>
  <c r="FN98" i="30248"/>
  <c r="FN94" i="30248"/>
  <c r="FN90" i="30248"/>
  <c r="FN86" i="30248"/>
  <c r="FN82" i="30248"/>
  <c r="FQ79" i="30248"/>
  <c r="CZ177" i="30248"/>
  <c r="FQ177" i="30248" s="1"/>
  <c r="FP182" i="30248"/>
  <c r="FM179" i="30248"/>
  <c r="FO179" i="30248"/>
  <c r="FP165" i="30248"/>
  <c r="FO162" i="30248"/>
  <c r="FM162" i="30248"/>
  <c r="FP157" i="30248"/>
  <c r="FM154" i="30248"/>
  <c r="FO154" i="30248"/>
  <c r="FP149" i="30248"/>
  <c r="FO146" i="30248"/>
  <c r="FM146" i="30248"/>
  <c r="FP141" i="30248"/>
  <c r="FO138" i="30248"/>
  <c r="FM138" i="30248"/>
  <c r="FP133" i="30248"/>
  <c r="FO130" i="30248"/>
  <c r="FM130" i="30248"/>
  <c r="FP125" i="30248"/>
  <c r="FM122" i="30248"/>
  <c r="FO122" i="30248"/>
  <c r="FP117" i="30248"/>
  <c r="FM114" i="30248"/>
  <c r="FO114" i="30248"/>
  <c r="FP109" i="30248"/>
  <c r="FM106" i="30248"/>
  <c r="FO106" i="30248"/>
  <c r="FP101" i="30248"/>
  <c r="FM98" i="30248"/>
  <c r="FO98" i="30248"/>
  <c r="FP93" i="30248"/>
  <c r="FM90" i="30248"/>
  <c r="FO90" i="30248"/>
  <c r="FP85" i="30248"/>
  <c r="FM82" i="30248"/>
  <c r="FO82" i="30248"/>
  <c r="FP77" i="30248"/>
  <c r="FM74" i="30248"/>
  <c r="FO74" i="30248"/>
  <c r="FP69" i="30248"/>
  <c r="FM66" i="30248"/>
  <c r="FO66" i="30248"/>
  <c r="FP61" i="30248"/>
  <c r="FM58" i="30248"/>
  <c r="FO58" i="30248"/>
  <c r="FP53" i="30248"/>
  <c r="FO49" i="30248"/>
  <c r="FM49" i="30248"/>
  <c r="FP44" i="30248"/>
  <c r="FO41" i="30248"/>
  <c r="FM41" i="30248"/>
  <c r="FP36" i="30248"/>
  <c r="FO33" i="30248"/>
  <c r="FM33" i="30248"/>
  <c r="FP28" i="30248"/>
  <c r="FO25" i="30248"/>
  <c r="FM25" i="30248"/>
  <c r="FP20" i="30248"/>
  <c r="FM17" i="30248"/>
  <c r="FO17" i="30248"/>
  <c r="FP12" i="30248"/>
  <c r="FP168" i="30248"/>
  <c r="FN168" i="30248"/>
  <c r="FN172" i="30248"/>
  <c r="FM182" i="30248"/>
  <c r="FO182" i="30248"/>
  <c r="FO141" i="30248"/>
  <c r="FM141" i="30248"/>
  <c r="FM85" i="30248"/>
  <c r="FO85" i="30248"/>
  <c r="FM69" i="30248"/>
  <c r="FO69" i="30248"/>
  <c r="CX9" i="30248"/>
  <c r="FN79" i="30248"/>
  <c r="CY177" i="30248"/>
  <c r="FO184" i="30248"/>
  <c r="FM184" i="30248"/>
  <c r="FO173" i="30248"/>
  <c r="FM173" i="30248"/>
  <c r="FM159" i="30248"/>
  <c r="FO159" i="30248"/>
  <c r="FM151" i="30248"/>
  <c r="FO151" i="30248"/>
  <c r="FM143" i="30248"/>
  <c r="FO143" i="30248"/>
  <c r="FM135" i="30248"/>
  <c r="FO135" i="30248"/>
  <c r="FM127" i="30248"/>
  <c r="FO127" i="30248"/>
  <c r="FP122" i="30248"/>
  <c r="FO119" i="30248"/>
  <c r="FM119" i="30248"/>
  <c r="FP114" i="30248"/>
  <c r="FO111" i="30248"/>
  <c r="FM111" i="30248"/>
  <c r="FP106" i="30248"/>
  <c r="FO103" i="30248"/>
  <c r="FM103" i="30248"/>
  <c r="FP98" i="30248"/>
  <c r="FO95" i="30248"/>
  <c r="FM95" i="30248"/>
  <c r="FP90" i="30248"/>
  <c r="FO87" i="30248"/>
  <c r="FM87" i="30248"/>
  <c r="FP82" i="30248"/>
  <c r="FO79" i="30248"/>
  <c r="FM79" i="30248"/>
  <c r="FP74" i="30248"/>
  <c r="FO71" i="30248"/>
  <c r="FM71" i="30248"/>
  <c r="FP66" i="30248"/>
  <c r="FO63" i="30248"/>
  <c r="FM63" i="30248"/>
  <c r="FP58" i="30248"/>
  <c r="FO55" i="30248"/>
  <c r="FM55" i="30248"/>
  <c r="FP49" i="30248"/>
  <c r="FM46" i="30248"/>
  <c r="FO46" i="30248"/>
  <c r="FP41" i="30248"/>
  <c r="FM38" i="30248"/>
  <c r="FO38" i="30248"/>
  <c r="FP33" i="30248"/>
  <c r="FM30" i="30248"/>
  <c r="FO30" i="30248"/>
  <c r="FP25" i="30248"/>
  <c r="FM22" i="30248"/>
  <c r="FO22" i="30248"/>
  <c r="FP17" i="30248"/>
  <c r="FM14" i="30248"/>
  <c r="FO14" i="30248"/>
  <c r="FP172" i="30248"/>
  <c r="FO10" i="30248"/>
  <c r="FM10" i="30248"/>
  <c r="FP127" i="30248"/>
  <c r="FO128" i="30248"/>
  <c r="FM128" i="30248"/>
  <c r="DE50" i="30248"/>
  <c r="DD9" i="30248"/>
  <c r="DE9" i="30248" s="1"/>
  <c r="CX8" i="30248"/>
  <c r="CY8" i="30248"/>
  <c r="DB9" i="30248"/>
  <c r="DH8" i="30248"/>
  <c r="DF8" i="30248"/>
  <c r="DC170" i="30248"/>
  <c r="DC9" i="30248"/>
  <c r="CZ8" i="30248"/>
  <c r="DB8" i="30248"/>
  <c r="DG9" i="30248"/>
  <c r="DA8" i="30248"/>
  <c r="DD8" i="30248"/>
  <c r="CW8" i="30248"/>
  <c r="CZ9" i="30248"/>
  <c r="DZ131" i="30248"/>
  <c r="DY131" i="30248"/>
  <c r="EN146" i="30248"/>
  <c r="EN141" i="30248"/>
  <c r="EN147" i="30248"/>
  <c r="EN138" i="30248"/>
  <c r="EN139" i="30248"/>
  <c r="O171" i="30248"/>
  <c r="E171" i="30248"/>
  <c r="P171" i="30248" s="1"/>
  <c r="EO141" i="30248"/>
  <c r="DH9" i="30248"/>
  <c r="EP147" i="30248"/>
  <c r="EP139" i="30248"/>
  <c r="O170" i="30248"/>
  <c r="E170" i="30248"/>
  <c r="EP138" i="30248"/>
  <c r="EO146" i="30248"/>
  <c r="EO147" i="30248"/>
  <c r="DC171" i="30248"/>
  <c r="DC50" i="30248"/>
  <c r="DF9" i="30248"/>
  <c r="DC8" i="30248"/>
  <c r="DA9" i="30248"/>
  <c r="AE299" i="30276" l="1"/>
  <c r="AE6" i="30276" s="1"/>
  <c r="W299" i="30276"/>
  <c r="W6" i="30276" s="1"/>
  <c r="AC299" i="30276"/>
  <c r="AC6" i="30276" s="1"/>
  <c r="AB299" i="30276"/>
  <c r="AB6" i="30276" s="1"/>
  <c r="U299" i="30276"/>
  <c r="U6" i="30276" s="1"/>
  <c r="M299" i="30276"/>
  <c r="M6" i="30276" s="1"/>
  <c r="AH299" i="30276"/>
  <c r="AH6" i="30276" s="1"/>
  <c r="E299" i="30276"/>
  <c r="E6" i="30276" s="1"/>
  <c r="Y299" i="30276"/>
  <c r="Y6" i="30276" s="1"/>
  <c r="Q299" i="30276"/>
  <c r="Q6" i="30276" s="1"/>
  <c r="X299" i="30276"/>
  <c r="X6" i="30276" s="1"/>
  <c r="N299" i="30276"/>
  <c r="N6" i="30276" s="1"/>
  <c r="AI299" i="30276"/>
  <c r="AI6" i="30276" s="1"/>
  <c r="F299" i="30276"/>
  <c r="F6" i="30276" s="1"/>
  <c r="Z299" i="30276"/>
  <c r="Z6" i="30276" s="1"/>
  <c r="R299" i="30276"/>
  <c r="R6" i="30276" s="1"/>
  <c r="J299" i="30276"/>
  <c r="J6" i="30276" s="1"/>
  <c r="B299" i="30276"/>
  <c r="B6" i="30276" s="1"/>
  <c r="L299" i="30276"/>
  <c r="L6" i="30276" s="1"/>
  <c r="D299" i="30276"/>
  <c r="D6" i="30276" s="1"/>
  <c r="AJ299" i="30276"/>
  <c r="AJ6" i="30276" s="1"/>
  <c r="G299" i="30276"/>
  <c r="G6" i="30276" s="1"/>
  <c r="AA299" i="30276"/>
  <c r="AA6" i="30276" s="1"/>
  <c r="S299" i="30276"/>
  <c r="S6" i="30276" s="1"/>
  <c r="K299" i="30276"/>
  <c r="K6" i="30276" s="1"/>
  <c r="AF299" i="30276"/>
  <c r="AF6" i="30276" s="1"/>
  <c r="C299" i="30276"/>
  <c r="C6" i="30276" s="1"/>
  <c r="T299" i="30276"/>
  <c r="T6" i="30276" s="1"/>
  <c r="AG299" i="30276"/>
  <c r="AG6" i="30276" s="1"/>
  <c r="I299" i="30276"/>
  <c r="I6" i="30276" s="1"/>
  <c r="P299" i="30276"/>
  <c r="P6" i="30276" s="1"/>
  <c r="FN177" i="30248"/>
  <c r="FM177" i="30248"/>
  <c r="FO177" i="30248"/>
  <c r="FP177" i="30248"/>
  <c r="P170" i="30248"/>
  <c r="DE8" i="30248"/>
  <c r="AE7" i="30276" l="1"/>
  <c r="AE241" i="30276" s="1"/>
  <c r="AE264" i="30276"/>
  <c r="AE310" i="30276"/>
  <c r="AE228" i="30276"/>
  <c r="AE304" i="30276"/>
  <c r="AE218" i="30276"/>
  <c r="AE233" i="30276"/>
  <c r="AE337" i="30276"/>
  <c r="W7" i="30276"/>
  <c r="W236" i="30276" s="1"/>
  <c r="W257" i="30276"/>
  <c r="W317" i="30276"/>
  <c r="W253" i="30276"/>
  <c r="W248" i="30276"/>
  <c r="W252" i="30276"/>
  <c r="AE232" i="30276"/>
  <c r="W235" i="30276"/>
  <c r="AF7" i="30276"/>
  <c r="AF333" i="30276" s="1"/>
  <c r="AF228" i="30276"/>
  <c r="G7" i="30276"/>
  <c r="G236" i="30276" s="1"/>
  <c r="B7" i="30276"/>
  <c r="B236" i="30276" s="1"/>
  <c r="F7" i="30276"/>
  <c r="F323" i="30276" s="1"/>
  <c r="Q7" i="30276"/>
  <c r="Q236" i="30276" s="1"/>
  <c r="M7" i="30276"/>
  <c r="M248" i="30276" s="1"/>
  <c r="AG7" i="30276"/>
  <c r="AG228" i="30276" s="1"/>
  <c r="K7" i="30276"/>
  <c r="K236" i="30276" s="1"/>
  <c r="AJ7" i="30276"/>
  <c r="AJ236" i="30276" s="1"/>
  <c r="J7" i="30276"/>
  <c r="J242" i="30276" s="1"/>
  <c r="AI7" i="30276"/>
  <c r="AI263" i="30276" s="1"/>
  <c r="Y7" i="30276"/>
  <c r="Y229" i="30276" s="1"/>
  <c r="U7" i="30276"/>
  <c r="U331" i="30276" s="1"/>
  <c r="T7" i="30276"/>
  <c r="T228" i="30276" s="1"/>
  <c r="S7" i="30276"/>
  <c r="S323" i="30276" s="1"/>
  <c r="D7" i="30276"/>
  <c r="D306" i="30276" s="1"/>
  <c r="D307" i="30276" s="1"/>
  <c r="R7" i="30276"/>
  <c r="R334" i="30276" s="1"/>
  <c r="N7" i="30276"/>
  <c r="N257" i="30276" s="1"/>
  <c r="E7" i="30276"/>
  <c r="E322" i="30276" s="1"/>
  <c r="AB7" i="30276"/>
  <c r="AB332" i="30276" s="1"/>
  <c r="C7" i="30276"/>
  <c r="C303" i="30276" s="1"/>
  <c r="AA7" i="30276"/>
  <c r="AA268" i="30276" s="1"/>
  <c r="AA269" i="30276" s="1"/>
  <c r="L7" i="30276"/>
  <c r="L306" i="30276" s="1"/>
  <c r="L307" i="30276" s="1"/>
  <c r="Z7" i="30276"/>
  <c r="Z306" i="30276" s="1"/>
  <c r="Z307" i="30276" s="1"/>
  <c r="X7" i="30276"/>
  <c r="X335" i="30276" s="1"/>
  <c r="AH7" i="30276"/>
  <c r="AH230" i="30276" s="1"/>
  <c r="AC7" i="30276"/>
  <c r="AC240" i="30276" s="1"/>
  <c r="P7" i="30276"/>
  <c r="P242" i="30276" s="1"/>
  <c r="I7" i="30276"/>
  <c r="I305" i="30276" s="1"/>
  <c r="W303" i="30276" l="1"/>
  <c r="W330" i="30276"/>
  <c r="AF231" i="30276"/>
  <c r="W240" i="30276"/>
  <c r="W242" i="30276"/>
  <c r="AF304" i="30276"/>
  <c r="AF316" i="30276"/>
  <c r="AF240" i="30276"/>
  <c r="AF321" i="30276"/>
  <c r="AF306" i="30276"/>
  <c r="AF307" i="30276" s="1"/>
  <c r="W321" i="30276"/>
  <c r="W309" i="30276"/>
  <c r="W238" i="30276"/>
  <c r="AE240" i="30276"/>
  <c r="AE242" i="30276"/>
  <c r="AE249" i="30276"/>
  <c r="AE258" i="30276"/>
  <c r="AE259" i="30276" s="1"/>
  <c r="AE231" i="30276"/>
  <c r="AE327" i="30276"/>
  <c r="AE308" i="30276"/>
  <c r="AE235" i="30276"/>
  <c r="AE268" i="30276"/>
  <c r="AE269" i="30276" s="1"/>
  <c r="AE226" i="30276"/>
  <c r="AE238" i="30276"/>
  <c r="AE321" i="30276"/>
  <c r="AE324" i="30276"/>
  <c r="AE325" i="30276"/>
  <c r="AE239" i="30276"/>
  <c r="AE250" i="30276"/>
  <c r="AE263" i="30276"/>
  <c r="AE227" i="30276"/>
  <c r="AE245" i="30276" s="1"/>
  <c r="AE316" i="30276"/>
  <c r="AE342" i="30276"/>
  <c r="AE230" i="30276"/>
  <c r="AE340" i="30276"/>
  <c r="AE256" i="30276"/>
  <c r="AE257" i="30276"/>
  <c r="AE237" i="30276"/>
  <c r="AE338" i="30276"/>
  <c r="AE309" i="30276"/>
  <c r="W218" i="30276"/>
  <c r="W340" i="30276"/>
  <c r="AE326" i="30276"/>
  <c r="AE336" i="30276"/>
  <c r="AE330" i="30276"/>
  <c r="AE261" i="30276"/>
  <c r="AE262" i="30276" s="1"/>
  <c r="AE266" i="30276" s="1"/>
  <c r="AE253" i="30276"/>
  <c r="AE221" i="30276" s="1"/>
  <c r="AE349" i="30276" s="1"/>
  <c r="AE322" i="30276"/>
  <c r="AE318" i="30276"/>
  <c r="AE331" i="30276"/>
  <c r="AE341" i="30276"/>
  <c r="AE223" i="30276"/>
  <c r="AE254" i="30276"/>
  <c r="AE348" i="30276"/>
  <c r="W223" i="30276"/>
  <c r="W254" i="30276"/>
  <c r="W221" i="30276"/>
  <c r="W349" i="30276" s="1"/>
  <c r="W348" i="30276"/>
  <c r="W227" i="30276"/>
  <c r="W232" i="30276"/>
  <c r="W234" i="30276"/>
  <c r="W268" i="30276"/>
  <c r="W269" i="30276" s="1"/>
  <c r="AE285" i="30276"/>
  <c r="AE301" i="30276"/>
  <c r="AE295" i="30276"/>
  <c r="AF238" i="30276"/>
  <c r="AF342" i="30276"/>
  <c r="AF308" i="30276"/>
  <c r="W249" i="30276"/>
  <c r="W300" i="30276" s="1"/>
  <c r="W308" i="30276"/>
  <c r="W250" i="30276"/>
  <c r="W304" i="30276"/>
  <c r="W310" i="30276"/>
  <c r="W226" i="30276"/>
  <c r="W255" i="30276"/>
  <c r="W237" i="30276"/>
  <c r="W256" i="30276"/>
  <c r="W265" i="30276" s="1"/>
  <c r="W339" i="30276"/>
  <c r="W231" i="30276"/>
  <c r="W337" i="30276"/>
  <c r="W323" i="30276"/>
  <c r="W335" i="30276"/>
  <c r="AE313" i="30276"/>
  <c r="AE311" i="30276"/>
  <c r="AE339" i="30276"/>
  <c r="W302" i="30276"/>
  <c r="AF226" i="30276"/>
  <c r="AF326" i="30276"/>
  <c r="AF332" i="30276"/>
  <c r="W233" i="30276"/>
  <c r="W322" i="30276"/>
  <c r="W331" i="30276"/>
  <c r="W332" i="30276"/>
  <c r="W228" i="30276"/>
  <c r="W241" i="30276"/>
  <c r="W316" i="30276"/>
  <c r="W251" i="30276"/>
  <c r="W261" i="30276"/>
  <c r="W262" i="30276" s="1"/>
  <c r="W326" i="30276"/>
  <c r="W239" i="30276"/>
  <c r="W334" i="30276"/>
  <c r="W258" i="30276"/>
  <c r="W259" i="30276" s="1"/>
  <c r="W341" i="30276"/>
  <c r="AE332" i="30276"/>
  <c r="AE334" i="30276"/>
  <c r="AE251" i="30276"/>
  <c r="AE305" i="30276"/>
  <c r="AE229" i="30276"/>
  <c r="AE323" i="30276"/>
  <c r="AE255" i="30276"/>
  <c r="AE333" i="30276"/>
  <c r="AE312" i="30276"/>
  <c r="AE317" i="30276"/>
  <c r="AE252" i="30276"/>
  <c r="AE248" i="30276"/>
  <c r="AE300" i="30276" s="1"/>
  <c r="AE306" i="30276"/>
  <c r="AE307" i="30276" s="1"/>
  <c r="AE335" i="30276"/>
  <c r="AE303" i="30276"/>
  <c r="W263" i="30276"/>
  <c r="W325" i="30276"/>
  <c r="W306" i="30276"/>
  <c r="W307" i="30276" s="1"/>
  <c r="W327" i="30276"/>
  <c r="W333" i="30276"/>
  <c r="W342" i="30276"/>
  <c r="W264" i="30276"/>
  <c r="W230" i="30276"/>
  <c r="W312" i="30276"/>
  <c r="W318" i="30276"/>
  <c r="W336" i="30276"/>
  <c r="W229" i="30276"/>
  <c r="W305" i="30276"/>
  <c r="W324" i="30276"/>
  <c r="W338" i="30276"/>
  <c r="AE244" i="30276"/>
  <c r="AE247" i="30276"/>
  <c r="AE243" i="30276"/>
  <c r="AE246" i="30276"/>
  <c r="AE260" i="30276"/>
  <c r="AE314" i="30276"/>
  <c r="AE234" i="30276"/>
  <c r="AE236" i="30276"/>
  <c r="AA271" i="30276"/>
  <c r="G70" i="30287"/>
  <c r="G71" i="30287" s="1"/>
  <c r="G72" i="30287" s="1"/>
  <c r="G322" i="30276"/>
  <c r="G321" i="30276"/>
  <c r="G263" i="30276"/>
  <c r="G342" i="30276"/>
  <c r="G325" i="30276"/>
  <c r="G339" i="30276"/>
  <c r="G242" i="30276"/>
  <c r="G305" i="30276"/>
  <c r="AF338" i="30276"/>
  <c r="AF248" i="30276"/>
  <c r="AF340" i="30276"/>
  <c r="AF268" i="30276"/>
  <c r="AF269" i="30276" s="1"/>
  <c r="AF242" i="30276"/>
  <c r="AF229" i="30276"/>
  <c r="AF323" i="30276"/>
  <c r="AF258" i="30276"/>
  <c r="AF259" i="30276" s="1"/>
  <c r="AF324" i="30276"/>
  <c r="AF337" i="30276"/>
  <c r="AF330" i="30276"/>
  <c r="AF253" i="30276"/>
  <c r="AF334" i="30276"/>
  <c r="AF317" i="30276"/>
  <c r="AF233" i="30276"/>
  <c r="AF325" i="30276"/>
  <c r="AF318" i="30276"/>
  <c r="AF331" i="30276"/>
  <c r="AF237" i="30276"/>
  <c r="AF339" i="30276"/>
  <c r="AF327" i="30276"/>
  <c r="AF264" i="30276"/>
  <c r="AF239" i="30276"/>
  <c r="AF305" i="30276"/>
  <c r="AF303" i="30276"/>
  <c r="AF309" i="30276"/>
  <c r="G255" i="30276"/>
  <c r="G323" i="30276"/>
  <c r="G303" i="30276"/>
  <c r="AF261" i="30276"/>
  <c r="AF262" i="30276" s="1"/>
  <c r="AF255" i="30276"/>
  <c r="AF251" i="30276"/>
  <c r="AF341" i="30276"/>
  <c r="AF256" i="30276"/>
  <c r="AF249" i="30276"/>
  <c r="AF322" i="30276"/>
  <c r="AF257" i="30276"/>
  <c r="AF241" i="30276"/>
  <c r="AF336" i="30276"/>
  <c r="AF250" i="30276"/>
  <c r="AF218" i="30276"/>
  <c r="AF312" i="30276"/>
  <c r="AF252" i="30276"/>
  <c r="AI258" i="30276"/>
  <c r="AI259" i="30276" s="1"/>
  <c r="AI229" i="30276"/>
  <c r="AI249" i="30276"/>
  <c r="AI268" i="30276"/>
  <c r="AI269" i="30276" s="1"/>
  <c r="AI318" i="30276"/>
  <c r="AI230" i="30276"/>
  <c r="AI218" i="30276"/>
  <c r="AI251" i="30276"/>
  <c r="AI317" i="30276"/>
  <c r="AI339" i="30276"/>
  <c r="AI316" i="30276"/>
  <c r="AI256" i="30276"/>
  <c r="AI334" i="30276"/>
  <c r="AI306" i="30276"/>
  <c r="AI307" i="30276" s="1"/>
  <c r="AI341" i="30276"/>
  <c r="AI238" i="30276"/>
  <c r="Z230" i="30276"/>
  <c r="AI241" i="30276"/>
  <c r="AI338" i="30276"/>
  <c r="AI309" i="30276"/>
  <c r="AI304" i="30276"/>
  <c r="AI257" i="30276"/>
  <c r="AI313" i="30276" s="1"/>
  <c r="AI327" i="30276"/>
  <c r="AI237" i="30276"/>
  <c r="AI239" i="30276"/>
  <c r="AI321" i="30276"/>
  <c r="AI248" i="30276"/>
  <c r="X248" i="30276"/>
  <c r="Q340" i="30276"/>
  <c r="AF263" i="30276"/>
  <c r="AF310" i="30276"/>
  <c r="AF311" i="30276" s="1"/>
  <c r="X257" i="30276"/>
  <c r="U309" i="30276"/>
  <c r="AI233" i="30276"/>
  <c r="AI337" i="30276"/>
  <c r="J227" i="30276"/>
  <c r="Q304" i="30276"/>
  <c r="G230" i="30276"/>
  <c r="G306" i="30276"/>
  <c r="G307" i="30276" s="1"/>
  <c r="G268" i="30276"/>
  <c r="G269" i="30276" s="1"/>
  <c r="H22" i="30287" s="1"/>
  <c r="H23" i="30287" s="1"/>
  <c r="H24" i="30287" s="1"/>
  <c r="AF335" i="30276"/>
  <c r="AF227" i="30276"/>
  <c r="AF244" i="30276" s="1"/>
  <c r="Q317" i="30276"/>
  <c r="AC255" i="30276"/>
  <c r="Q249" i="30276"/>
  <c r="Q231" i="30276"/>
  <c r="AB238" i="30276"/>
  <c r="AI264" i="30276"/>
  <c r="J268" i="30276"/>
  <c r="J269" i="30276" s="1"/>
  <c r="B325" i="30276"/>
  <c r="AC336" i="30276"/>
  <c r="AI242" i="30276"/>
  <c r="AI303" i="30276"/>
  <c r="J308" i="30276"/>
  <c r="AC258" i="30276"/>
  <c r="AC259" i="30276" s="1"/>
  <c r="AC218" i="30276"/>
  <c r="AA248" i="30276"/>
  <c r="S305" i="30276"/>
  <c r="U227" i="30276"/>
  <c r="U304" i="30276"/>
  <c r="K337" i="30276"/>
  <c r="Q309" i="30276"/>
  <c r="Q324" i="30276"/>
  <c r="Q323" i="30276"/>
  <c r="Q330" i="30276"/>
  <c r="Q229" i="30276"/>
  <c r="Q218" i="30276"/>
  <c r="F226" i="30276"/>
  <c r="B263" i="30276"/>
  <c r="B333" i="30276"/>
  <c r="AC251" i="30276"/>
  <c r="AC338" i="30276"/>
  <c r="X336" i="30276"/>
  <c r="U240" i="30276"/>
  <c r="Q341" i="30276"/>
  <c r="Q325" i="30276"/>
  <c r="Q322" i="30276"/>
  <c r="Q333" i="30276"/>
  <c r="Q310" i="30276"/>
  <c r="F318" i="30276"/>
  <c r="B253" i="30276"/>
  <c r="B240" i="30276"/>
  <c r="AC252" i="30276"/>
  <c r="AC341" i="30276"/>
  <c r="S240" i="30276"/>
  <c r="U341" i="30276"/>
  <c r="Q338" i="30276"/>
  <c r="Q308" i="30276"/>
  <c r="Q321" i="30276"/>
  <c r="Q257" i="30276"/>
  <c r="Q306" i="30276"/>
  <c r="Q307" i="30276" s="1"/>
  <c r="Q327" i="30276"/>
  <c r="F256" i="30276"/>
  <c r="B330" i="30276"/>
  <c r="B231" i="30276"/>
  <c r="AI331" i="30276"/>
  <c r="AI227" i="30276"/>
  <c r="AI240" i="30276"/>
  <c r="AI324" i="30276"/>
  <c r="J310" i="30276"/>
  <c r="J263" i="30276"/>
  <c r="K322" i="30276"/>
  <c r="B342" i="30276"/>
  <c r="B241" i="30276"/>
  <c r="B252" i="30276"/>
  <c r="B323" i="30276"/>
  <c r="AC325" i="30276"/>
  <c r="AC257" i="30276"/>
  <c r="AC310" i="30276"/>
  <c r="X323" i="30276"/>
  <c r="Z263" i="30276"/>
  <c r="AA238" i="30276"/>
  <c r="D332" i="30276"/>
  <c r="S321" i="30276"/>
  <c r="U333" i="30276"/>
  <c r="U250" i="30276"/>
  <c r="AI325" i="30276"/>
  <c r="AI332" i="30276"/>
  <c r="AI323" i="30276"/>
  <c r="J249" i="30276"/>
  <c r="J327" i="30276"/>
  <c r="AG322" i="30276"/>
  <c r="B312" i="30276"/>
  <c r="B249" i="30276"/>
  <c r="B239" i="30276"/>
  <c r="R239" i="30276"/>
  <c r="AG248" i="30276"/>
  <c r="B332" i="30276"/>
  <c r="B218" i="30276"/>
  <c r="B322" i="30276"/>
  <c r="B335" i="30276"/>
  <c r="B257" i="30276"/>
  <c r="B303" i="30276"/>
  <c r="B237" i="30276"/>
  <c r="B309" i="30276"/>
  <c r="B264" i="30276"/>
  <c r="B327" i="30276"/>
  <c r="B248" i="30276"/>
  <c r="B317" i="30276"/>
  <c r="B242" i="30276"/>
  <c r="B230" i="30276"/>
  <c r="G312" i="30276"/>
  <c r="G310" i="30276"/>
  <c r="G250" i="30276"/>
  <c r="G261" i="30276"/>
  <c r="G262" i="30276" s="1"/>
  <c r="G318" i="30276"/>
  <c r="G256" i="30276"/>
  <c r="G233" i="30276"/>
  <c r="G240" i="30276"/>
  <c r="G326" i="30276"/>
  <c r="G252" i="30276"/>
  <c r="G337" i="30276"/>
  <c r="G308" i="30276"/>
  <c r="G249" i="30276"/>
  <c r="G301" i="30276" s="1"/>
  <c r="G324" i="30276"/>
  <c r="G248" i="30276"/>
  <c r="G302" i="30276" s="1"/>
  <c r="AB264" i="30276"/>
  <c r="AB249" i="30276"/>
  <c r="AB295" i="30276" s="1"/>
  <c r="AB341" i="30276"/>
  <c r="R333" i="30276"/>
  <c r="S306" i="30276"/>
  <c r="S307" i="30276" s="1"/>
  <c r="AG242" i="30276"/>
  <c r="F336" i="30276"/>
  <c r="B331" i="30276"/>
  <c r="B334" i="30276"/>
  <c r="B318" i="30276"/>
  <c r="B338" i="30276"/>
  <c r="B316" i="30276"/>
  <c r="B339" i="30276"/>
  <c r="B268" i="30276"/>
  <c r="B269" i="30276" s="1"/>
  <c r="C22" i="30287" s="1"/>
  <c r="C23" i="30287" s="1"/>
  <c r="C24" i="30287" s="1"/>
  <c r="B321" i="30276"/>
  <c r="B226" i="30276"/>
  <c r="B250" i="30276"/>
  <c r="B305" i="30276"/>
  <c r="B233" i="30276"/>
  <c r="B229" i="30276"/>
  <c r="B238" i="30276"/>
  <c r="B341" i="30276"/>
  <c r="G338" i="30276"/>
  <c r="G231" i="30276"/>
  <c r="G241" i="30276"/>
  <c r="G228" i="30276"/>
  <c r="G331" i="30276"/>
  <c r="G304" i="30276"/>
  <c r="G218" i="30276"/>
  <c r="G335" i="30276"/>
  <c r="G258" i="30276"/>
  <c r="G259" i="30276" s="1"/>
  <c r="G229" i="30276"/>
  <c r="G238" i="30276"/>
  <c r="G334" i="30276"/>
  <c r="G237" i="30276"/>
  <c r="G239" i="30276"/>
  <c r="G264" i="30276"/>
  <c r="N250" i="30276"/>
  <c r="AC342" i="30276"/>
  <c r="AC321" i="30276"/>
  <c r="AC340" i="30276"/>
  <c r="AC316" i="30276"/>
  <c r="AH231" i="30276"/>
  <c r="X331" i="30276"/>
  <c r="Z312" i="30276"/>
  <c r="L257" i="30276"/>
  <c r="AB226" i="30276"/>
  <c r="AB227" i="30276"/>
  <c r="N226" i="30276"/>
  <c r="R258" i="30276"/>
  <c r="R259" i="30276" s="1"/>
  <c r="R314" i="30276" s="1"/>
  <c r="S312" i="30276"/>
  <c r="S238" i="30276"/>
  <c r="AG227" i="30276"/>
  <c r="Q339" i="30276"/>
  <c r="Q251" i="30276"/>
  <c r="Q336" i="30276"/>
  <c r="Q261" i="30276"/>
  <c r="Q262" i="30276" s="1"/>
  <c r="Q331" i="30276"/>
  <c r="Q258" i="30276"/>
  <c r="Q259" i="30276" s="1"/>
  <c r="Q335" i="30276"/>
  <c r="F338" i="30276"/>
  <c r="F333" i="30276"/>
  <c r="B326" i="30276"/>
  <c r="B304" i="30276"/>
  <c r="B308" i="30276"/>
  <c r="B336" i="30276"/>
  <c r="B324" i="30276"/>
  <c r="B310" i="30276"/>
  <c r="B261" i="30276"/>
  <c r="B262" i="30276" s="1"/>
  <c r="B306" i="30276"/>
  <c r="B307" i="30276" s="1"/>
  <c r="B227" i="30276"/>
  <c r="B255" i="30276"/>
  <c r="B258" i="30276"/>
  <c r="B259" i="30276" s="1"/>
  <c r="B228" i="30276"/>
  <c r="B256" i="30276"/>
  <c r="B251" i="30276"/>
  <c r="B337" i="30276"/>
  <c r="G227" i="30276"/>
  <c r="G341" i="30276"/>
  <c r="G226" i="30276"/>
  <c r="G317" i="30276"/>
  <c r="G253" i="30276"/>
  <c r="G223" i="30276" s="1"/>
  <c r="G330" i="30276"/>
  <c r="G336" i="30276"/>
  <c r="G257" i="30276"/>
  <c r="G251" i="30276"/>
  <c r="G316" i="30276"/>
  <c r="G332" i="30276"/>
  <c r="G340" i="30276"/>
  <c r="G333" i="30276"/>
  <c r="G309" i="30276"/>
  <c r="G327" i="30276"/>
  <c r="AC256" i="30276"/>
  <c r="AC335" i="30276"/>
  <c r="AC253" i="30276"/>
  <c r="AC348" i="30276" s="1"/>
  <c r="AC333" i="30276"/>
  <c r="AC249" i="30276"/>
  <c r="AC285" i="30276" s="1"/>
  <c r="AC230" i="30276"/>
  <c r="AC237" i="30276"/>
  <c r="AA240" i="30276"/>
  <c r="AB242" i="30276"/>
  <c r="AB309" i="30276"/>
  <c r="AB305" i="30276"/>
  <c r="N325" i="30276"/>
  <c r="R321" i="30276"/>
  <c r="S309" i="30276"/>
  <c r="S242" i="30276"/>
  <c r="S231" i="30276"/>
  <c r="S237" i="30276"/>
  <c r="T233" i="30276"/>
  <c r="AG303" i="30276"/>
  <c r="AG341" i="30276"/>
  <c r="Q318" i="30276"/>
  <c r="Q255" i="30276"/>
  <c r="Q250" i="30276"/>
  <c r="Q264" i="30276"/>
  <c r="Q248" i="30276"/>
  <c r="Q302" i="30276" s="1"/>
  <c r="Q326" i="30276"/>
  <c r="Q305" i="30276"/>
  <c r="Q252" i="30276"/>
  <c r="Q241" i="30276"/>
  <c r="Q256" i="30276"/>
  <c r="Q240" i="30276"/>
  <c r="Q226" i="30276"/>
  <c r="F337" i="30276"/>
  <c r="F264" i="30276"/>
  <c r="F312" i="30276"/>
  <c r="S303" i="30276"/>
  <c r="S324" i="30276"/>
  <c r="S227" i="30276"/>
  <c r="T318" i="30276"/>
  <c r="Q238" i="30276"/>
  <c r="Q237" i="30276"/>
  <c r="Q263" i="30276"/>
  <c r="Q332" i="30276"/>
  <c r="AC264" i="30276"/>
  <c r="AC317" i="30276"/>
  <c r="AC308" i="30276"/>
  <c r="AC250" i="30276"/>
  <c r="AC233" i="30276"/>
  <c r="AB306" i="30276"/>
  <c r="AB307" i="30276" s="1"/>
  <c r="AB322" i="30276"/>
  <c r="AB218" i="30276"/>
  <c r="N330" i="30276"/>
  <c r="S230" i="30276"/>
  <c r="S252" i="30276"/>
  <c r="S326" i="30276"/>
  <c r="S342" i="30276"/>
  <c r="S229" i="30276"/>
  <c r="T261" i="30276"/>
  <c r="T262" i="30276" s="1"/>
  <c r="AG305" i="30276"/>
  <c r="AG310" i="30276"/>
  <c r="Q316" i="30276"/>
  <c r="Q337" i="30276"/>
  <c r="Q268" i="30276"/>
  <c r="Q269" i="30276" s="1"/>
  <c r="Q239" i="30276"/>
  <c r="Q303" i="30276"/>
  <c r="Q253" i="30276"/>
  <c r="Q348" i="30276" s="1"/>
  <c r="Q312" i="30276"/>
  <c r="Q227" i="30276"/>
  <c r="Q242" i="30276"/>
  <c r="F239" i="30276"/>
  <c r="F227" i="30276"/>
  <c r="F218" i="30276"/>
  <c r="L342" i="30276"/>
  <c r="AA339" i="30276"/>
  <c r="AA228" i="30276"/>
  <c r="D249" i="30276"/>
  <c r="D295" i="30276" s="1"/>
  <c r="S333" i="30276"/>
  <c r="S327" i="30276"/>
  <c r="S330" i="30276"/>
  <c r="S335" i="30276"/>
  <c r="S253" i="30276"/>
  <c r="S254" i="30276" s="1"/>
  <c r="S336" i="30276"/>
  <c r="S268" i="30276"/>
  <c r="S269" i="30276" s="1"/>
  <c r="S304" i="30276"/>
  <c r="S261" i="30276"/>
  <c r="S262" i="30276" s="1"/>
  <c r="S241" i="30276"/>
  <c r="T258" i="30276"/>
  <c r="T259" i="30276" s="1"/>
  <c r="T230" i="30276"/>
  <c r="T339" i="30276"/>
  <c r="U305" i="30276"/>
  <c r="U340" i="30276"/>
  <c r="U249" i="30276"/>
  <c r="U242" i="30276"/>
  <c r="J231" i="30276"/>
  <c r="J238" i="30276"/>
  <c r="J339" i="30276"/>
  <c r="J337" i="30276"/>
  <c r="AG306" i="30276"/>
  <c r="AG307" i="30276" s="1"/>
  <c r="AG261" i="30276"/>
  <c r="AG262" i="30276" s="1"/>
  <c r="AG332" i="30276"/>
  <c r="AG231" i="30276"/>
  <c r="AG263" i="30276"/>
  <c r="AG252" i="30276"/>
  <c r="AG258" i="30276"/>
  <c r="AG259" i="30276" s="1"/>
  <c r="AG241" i="30276"/>
  <c r="Q228" i="30276"/>
  <c r="F326" i="30276"/>
  <c r="F308" i="30276"/>
  <c r="F331" i="30276"/>
  <c r="F253" i="30276"/>
  <c r="F221" i="30276" s="1"/>
  <c r="F349" i="30276" s="1"/>
  <c r="F325" i="30276"/>
  <c r="F334" i="30276"/>
  <c r="F342" i="30276"/>
  <c r="D303" i="30276"/>
  <c r="D240" i="30276"/>
  <c r="T308" i="30276"/>
  <c r="T231" i="30276"/>
  <c r="T252" i="30276"/>
  <c r="AG339" i="30276"/>
  <c r="AG238" i="30276"/>
  <c r="AG330" i="30276"/>
  <c r="AG218" i="30276"/>
  <c r="AG318" i="30276"/>
  <c r="AG335" i="30276"/>
  <c r="AG340" i="30276"/>
  <c r="AG312" i="30276"/>
  <c r="AC305" i="30276"/>
  <c r="AC228" i="30276"/>
  <c r="AH239" i="30276"/>
  <c r="AA323" i="30276"/>
  <c r="AA253" i="30276"/>
  <c r="AA348" i="30276" s="1"/>
  <c r="C228" i="30276"/>
  <c r="AB327" i="30276"/>
  <c r="AB338" i="30276"/>
  <c r="R324" i="30276"/>
  <c r="D321" i="30276"/>
  <c r="D255" i="30276"/>
  <c r="S239" i="30276"/>
  <c r="S334" i="30276"/>
  <c r="S255" i="30276"/>
  <c r="S331" i="30276"/>
  <c r="S249" i="30276"/>
  <c r="S301" i="30276" s="1"/>
  <c r="S337" i="30276"/>
  <c r="S251" i="30276"/>
  <c r="S250" i="30276"/>
  <c r="S264" i="30276"/>
  <c r="T226" i="30276"/>
  <c r="T333" i="30276"/>
  <c r="T335" i="30276"/>
  <c r="T322" i="30276"/>
  <c r="U256" i="30276"/>
  <c r="U233" i="30276"/>
  <c r="U337" i="30276"/>
  <c r="U263" i="30276"/>
  <c r="U230" i="30276"/>
  <c r="J341" i="30276"/>
  <c r="J322" i="30276"/>
  <c r="J261" i="30276"/>
  <c r="J262" i="30276" s="1"/>
  <c r="AJ322" i="30276"/>
  <c r="AG304" i="30276"/>
  <c r="AG251" i="30276"/>
  <c r="AG237" i="30276"/>
  <c r="AG342" i="30276"/>
  <c r="AG255" i="30276"/>
  <c r="AG257" i="30276"/>
  <c r="AG249" i="30276"/>
  <c r="AG260" i="30276" s="1"/>
  <c r="AG309" i="30276"/>
  <c r="F229" i="30276"/>
  <c r="F255" i="30276"/>
  <c r="F230" i="30276"/>
  <c r="F327" i="30276"/>
  <c r="F316" i="30276"/>
  <c r="F310" i="30276"/>
  <c r="AH227" i="30276"/>
  <c r="X317" i="30276"/>
  <c r="X332" i="30276"/>
  <c r="X229" i="30276"/>
  <c r="Z342" i="30276"/>
  <c r="Z240" i="30276"/>
  <c r="Z256" i="30276"/>
  <c r="Z305" i="30276"/>
  <c r="L268" i="30276"/>
  <c r="L269" i="30276" s="1"/>
  <c r="L333" i="30276"/>
  <c r="AA310" i="30276"/>
  <c r="AA258" i="30276"/>
  <c r="AA259" i="30276" s="1"/>
  <c r="AA324" i="30276"/>
  <c r="C305" i="30276"/>
  <c r="AB324" i="30276"/>
  <c r="AB261" i="30276"/>
  <c r="AB262" i="30276" s="1"/>
  <c r="AB266" i="30276" s="1"/>
  <c r="AB239" i="30276"/>
  <c r="AB333" i="30276"/>
  <c r="AB304" i="30276"/>
  <c r="AB323" i="30276"/>
  <c r="AB241" i="30276"/>
  <c r="AB308" i="30276"/>
  <c r="N331" i="30276"/>
  <c r="N248" i="30276"/>
  <c r="R323" i="30276"/>
  <c r="D248" i="30276"/>
  <c r="T305" i="30276"/>
  <c r="T326" i="30276"/>
  <c r="T248" i="30276"/>
  <c r="T303" i="30276"/>
  <c r="T317" i="30276"/>
  <c r="T229" i="30276"/>
  <c r="T306" i="30276"/>
  <c r="T307" i="30276" s="1"/>
  <c r="T251" i="30276"/>
  <c r="T249" i="30276"/>
  <c r="U268" i="30276"/>
  <c r="U269" i="30276" s="1"/>
  <c r="Y304" i="30276"/>
  <c r="J323" i="30276"/>
  <c r="J241" i="30276"/>
  <c r="J257" i="30276"/>
  <c r="J333" i="30276"/>
  <c r="J256" i="30276"/>
  <c r="AJ268" i="30276"/>
  <c r="AJ269" i="30276" s="1"/>
  <c r="K228" i="30276"/>
  <c r="AG327" i="30276"/>
  <c r="AG323" i="30276"/>
  <c r="AG256" i="30276"/>
  <c r="AG264" i="30276"/>
  <c r="AG337" i="30276"/>
  <c r="AG226" i="30276"/>
  <c r="AG246" i="30276" s="1"/>
  <c r="AG239" i="30276"/>
  <c r="M324" i="30276"/>
  <c r="F257" i="30276"/>
  <c r="F265" i="30276" s="1"/>
  <c r="F231" i="30276"/>
  <c r="F233" i="30276"/>
  <c r="F305" i="30276"/>
  <c r="F306" i="30276"/>
  <c r="F307" i="30276" s="1"/>
  <c r="F249" i="30276"/>
  <c r="F258" i="30276"/>
  <c r="F259" i="30276" s="1"/>
  <c r="AH218" i="30276"/>
  <c r="AH342" i="30276"/>
  <c r="X256" i="30276"/>
  <c r="X265" i="30276" s="1"/>
  <c r="X238" i="30276"/>
  <c r="X304" i="30276"/>
  <c r="Z308" i="30276"/>
  <c r="Z241" i="30276"/>
  <c r="Z330" i="30276"/>
  <c r="L238" i="30276"/>
  <c r="L340" i="30276"/>
  <c r="AA303" i="30276"/>
  <c r="AA333" i="30276"/>
  <c r="AA255" i="30276"/>
  <c r="AA302" i="30276" s="1"/>
  <c r="C335" i="30276"/>
  <c r="AB231" i="30276"/>
  <c r="AB240" i="30276"/>
  <c r="AB228" i="30276"/>
  <c r="AB336" i="30276"/>
  <c r="AB316" i="30276"/>
  <c r="AB331" i="30276"/>
  <c r="N263" i="30276"/>
  <c r="N261" i="30276"/>
  <c r="N262" i="30276" s="1"/>
  <c r="N230" i="30276"/>
  <c r="T240" i="30276"/>
  <c r="T255" i="30276"/>
  <c r="T257" i="30276"/>
  <c r="T313" i="30276" s="1"/>
  <c r="T250" i="30276"/>
  <c r="T312" i="30276"/>
  <c r="T342" i="30276"/>
  <c r="T316" i="30276"/>
  <c r="T242" i="30276"/>
  <c r="T327" i="30276"/>
  <c r="J237" i="30276"/>
  <c r="J325" i="30276"/>
  <c r="J230" i="30276"/>
  <c r="F322" i="30276"/>
  <c r="F242" i="30276"/>
  <c r="F240" i="30276"/>
  <c r="Z249" i="30276"/>
  <c r="Z295" i="30276" s="1"/>
  <c r="Z264" i="30276"/>
  <c r="Z231" i="30276"/>
  <c r="AB244" i="30276"/>
  <c r="T332" i="30276"/>
  <c r="T218" i="30276"/>
  <c r="T323" i="30276"/>
  <c r="T227" i="30276"/>
  <c r="T310" i="30276"/>
  <c r="AC304" i="30276"/>
  <c r="AC229" i="30276"/>
  <c r="X309" i="30276"/>
  <c r="X226" i="30276"/>
  <c r="X342" i="30276"/>
  <c r="X308" i="30276"/>
  <c r="X240" i="30276"/>
  <c r="X237" i="30276"/>
  <c r="AB312" i="30276"/>
  <c r="AB237" i="30276"/>
  <c r="AB337" i="30276"/>
  <c r="AB303" i="30276"/>
  <c r="AB318" i="30276"/>
  <c r="AB263" i="30276"/>
  <c r="AB229" i="30276"/>
  <c r="AB256" i="30276"/>
  <c r="AB321" i="30276"/>
  <c r="AB268" i="30276"/>
  <c r="AB269" i="30276" s="1"/>
  <c r="AB233" i="30276"/>
  <c r="AB317" i="30276"/>
  <c r="AB258" i="30276"/>
  <c r="AB259" i="30276" s="1"/>
  <c r="AB251" i="30276"/>
  <c r="AB330" i="30276"/>
  <c r="AB248" i="30276"/>
  <c r="AB340" i="30276"/>
  <c r="AB342" i="30276"/>
  <c r="AB230" i="30276"/>
  <c r="AB310" i="30276"/>
  <c r="E335" i="30276"/>
  <c r="E251" i="30276"/>
  <c r="E339" i="30276"/>
  <c r="X334" i="30276"/>
  <c r="X310" i="30276"/>
  <c r="X337" i="30276"/>
  <c r="X303" i="30276"/>
  <c r="X338" i="30276"/>
  <c r="Z255" i="30276"/>
  <c r="AB326" i="30276"/>
  <c r="AB335" i="30276"/>
  <c r="AB255" i="30276"/>
  <c r="E237" i="30276"/>
  <c r="N324" i="30276"/>
  <c r="N255" i="30276"/>
  <c r="N342" i="30276"/>
  <c r="R312" i="30276"/>
  <c r="R336" i="30276"/>
  <c r="R226" i="30276"/>
  <c r="D312" i="30276"/>
  <c r="D331" i="30276"/>
  <c r="D263" i="30276"/>
  <c r="S218" i="30276"/>
  <c r="S340" i="30276"/>
  <c r="S233" i="30276"/>
  <c r="S341" i="30276"/>
  <c r="S325" i="30276"/>
  <c r="S339" i="30276"/>
  <c r="U264" i="30276"/>
  <c r="U255" i="30276"/>
  <c r="U310" i="30276"/>
  <c r="U317" i="30276"/>
  <c r="U239" i="30276"/>
  <c r="Y268" i="30276"/>
  <c r="Y269" i="30276" s="1"/>
  <c r="AI308" i="30276"/>
  <c r="AI326" i="30276"/>
  <c r="AI322" i="30276"/>
  <c r="AI226" i="30276"/>
  <c r="AI244" i="30276" s="1"/>
  <c r="AI310" i="30276"/>
  <c r="AI255" i="30276"/>
  <c r="AI302" i="30276" s="1"/>
  <c r="AI253" i="30276"/>
  <c r="AI336" i="30276"/>
  <c r="AI231" i="30276"/>
  <c r="AI333" i="30276"/>
  <c r="AI330" i="30276"/>
  <c r="AI342" i="30276"/>
  <c r="AI335" i="30276"/>
  <c r="J253" i="30276"/>
  <c r="J254" i="30276" s="1"/>
  <c r="J316" i="30276"/>
  <c r="J335" i="30276"/>
  <c r="J304" i="30276"/>
  <c r="J318" i="30276"/>
  <c r="J252" i="30276"/>
  <c r="J240" i="30276"/>
  <c r="J258" i="30276"/>
  <c r="J259" i="30276" s="1"/>
  <c r="J314" i="30276" s="1"/>
  <c r="AJ231" i="30276"/>
  <c r="AJ332" i="30276"/>
  <c r="AJ249" i="30276"/>
  <c r="AJ285" i="30276" s="1"/>
  <c r="K324" i="30276"/>
  <c r="K268" i="30276"/>
  <c r="K269" i="30276" s="1"/>
  <c r="K318" i="30276"/>
  <c r="K331" i="30276"/>
  <c r="AG250" i="30276"/>
  <c r="AG316" i="30276"/>
  <c r="AG230" i="30276"/>
  <c r="AG229" i="30276"/>
  <c r="AG268" i="30276"/>
  <c r="AG269" i="30276" s="1"/>
  <c r="AG253" i="30276"/>
  <c r="AG221" i="30276" s="1"/>
  <c r="AG349" i="30276" s="1"/>
  <c r="AG333" i="30276"/>
  <c r="AG336" i="30276"/>
  <c r="AG317" i="30276"/>
  <c r="AG240" i="30276"/>
  <c r="M249" i="30276"/>
  <c r="M300" i="30276" s="1"/>
  <c r="Q334" i="30276"/>
  <c r="Q230" i="30276"/>
  <c r="Q233" i="30276"/>
  <c r="F317" i="30276"/>
  <c r="F309" i="30276"/>
  <c r="F311" i="30276" s="1"/>
  <c r="F304" i="30276"/>
  <c r="F241" i="30276"/>
  <c r="F324" i="30276"/>
  <c r="F261" i="30276"/>
  <c r="F262" i="30276" s="1"/>
  <c r="R238" i="30276"/>
  <c r="R325" i="30276"/>
  <c r="R305" i="30276"/>
  <c r="AI228" i="30276"/>
  <c r="AJ226" i="30276"/>
  <c r="AJ321" i="30276"/>
  <c r="K250" i="30276"/>
  <c r="K305" i="30276"/>
  <c r="K306" i="30276"/>
  <c r="K307" i="30276" s="1"/>
  <c r="K323" i="30276"/>
  <c r="K308" i="30276"/>
  <c r="AG308" i="30276"/>
  <c r="M256" i="30276"/>
  <c r="F237" i="30276"/>
  <c r="F332" i="30276"/>
  <c r="F263" i="30276"/>
  <c r="AJ305" i="30276"/>
  <c r="AJ333" i="30276"/>
  <c r="AJ338" i="30276"/>
  <c r="K226" i="30276"/>
  <c r="K251" i="30276"/>
  <c r="K233" i="30276"/>
  <c r="K239" i="30276"/>
  <c r="AC324" i="30276"/>
  <c r="AC239" i="30276"/>
  <c r="AC268" i="30276"/>
  <c r="AC269" i="30276" s="1"/>
  <c r="AC263" i="30276"/>
  <c r="AC326" i="30276"/>
  <c r="AC303" i="30276"/>
  <c r="AC261" i="30276"/>
  <c r="AC262" i="30276" s="1"/>
  <c r="AC327" i="30276"/>
  <c r="AC322" i="30276"/>
  <c r="AC309" i="30276"/>
  <c r="AC311" i="30276" s="1"/>
  <c r="AC339" i="30276"/>
  <c r="AC330" i="30276"/>
  <c r="AC248" i="30276"/>
  <c r="AC300" i="30276" s="1"/>
  <c r="AC238" i="30276"/>
  <c r="AC241" i="30276"/>
  <c r="AH261" i="30276"/>
  <c r="AH262" i="30276" s="1"/>
  <c r="AH253" i="30276"/>
  <c r="AH221" i="30276" s="1"/>
  <c r="AH349" i="30276" s="1"/>
  <c r="AH308" i="30276"/>
  <c r="X261" i="30276"/>
  <c r="X262" i="30276" s="1"/>
  <c r="X242" i="30276"/>
  <c r="X252" i="30276"/>
  <c r="X230" i="30276"/>
  <c r="X264" i="30276"/>
  <c r="X266" i="30276" s="1"/>
  <c r="X312" i="30276"/>
  <c r="X239" i="30276"/>
  <c r="X318" i="30276"/>
  <c r="X227" i="30276"/>
  <c r="X340" i="30276"/>
  <c r="X241" i="30276"/>
  <c r="Z337" i="30276"/>
  <c r="Z325" i="30276"/>
  <c r="Z317" i="30276"/>
  <c r="Z229" i="30276"/>
  <c r="Z252" i="30276"/>
  <c r="Z309" i="30276"/>
  <c r="Z238" i="30276"/>
  <c r="L226" i="30276"/>
  <c r="L335" i="30276"/>
  <c r="L227" i="30276"/>
  <c r="L308" i="30276"/>
  <c r="C306" i="30276"/>
  <c r="C307" i="30276" s="1"/>
  <c r="C242" i="30276"/>
  <c r="C326" i="30276"/>
  <c r="AB339" i="30276"/>
  <c r="AB250" i="30276"/>
  <c r="E242" i="30276"/>
  <c r="E304" i="30276"/>
  <c r="E238" i="30276"/>
  <c r="C325" i="30276"/>
  <c r="C336" i="30276"/>
  <c r="C304" i="30276"/>
  <c r="C261" i="30276"/>
  <c r="C262" i="30276" s="1"/>
  <c r="AC306" i="30276"/>
  <c r="AC307" i="30276" s="1"/>
  <c r="AC332" i="30276"/>
  <c r="AC227" i="30276"/>
  <c r="AC331" i="30276"/>
  <c r="AC312" i="30276"/>
  <c r="AC334" i="30276"/>
  <c r="AC231" i="30276"/>
  <c r="AC318" i="30276"/>
  <c r="AC323" i="30276"/>
  <c r="AC226" i="30276"/>
  <c r="AC242" i="30276"/>
  <c r="AH257" i="30276"/>
  <c r="AH249" i="30276"/>
  <c r="AH285" i="30276" s="1"/>
  <c r="AH316" i="30276"/>
  <c r="X306" i="30276"/>
  <c r="X307" i="30276" s="1"/>
  <c r="X341" i="30276"/>
  <c r="X249" i="30276"/>
  <c r="X285" i="30276" s="1"/>
  <c r="X268" i="30276"/>
  <c r="X269" i="30276" s="1"/>
  <c r="X250" i="30276"/>
  <c r="X255" i="30276"/>
  <c r="X333" i="30276"/>
  <c r="X258" i="30276"/>
  <c r="X259" i="30276" s="1"/>
  <c r="X314" i="30276" s="1"/>
  <c r="X315" i="30276" s="1"/>
  <c r="X322" i="30276"/>
  <c r="X305" i="30276"/>
  <c r="X218" i="30276"/>
  <c r="Z316" i="30276"/>
  <c r="Z334" i="30276"/>
  <c r="Z324" i="30276"/>
  <c r="Z258" i="30276"/>
  <c r="Z259" i="30276" s="1"/>
  <c r="Z314" i="30276" s="1"/>
  <c r="Z315" i="30276" s="1"/>
  <c r="Z310" i="30276"/>
  <c r="Z304" i="30276"/>
  <c r="Z227" i="30276"/>
  <c r="Z248" i="30276"/>
  <c r="L332" i="30276"/>
  <c r="L323" i="30276"/>
  <c r="C250" i="30276"/>
  <c r="C263" i="30276"/>
  <c r="C316" i="30276"/>
  <c r="C332" i="30276"/>
  <c r="AB257" i="30276"/>
  <c r="E231" i="30276"/>
  <c r="E261" i="30276"/>
  <c r="E262" i="30276" s="1"/>
  <c r="S228" i="30276"/>
  <c r="S318" i="30276"/>
  <c r="S317" i="30276"/>
  <c r="S316" i="30276"/>
  <c r="S257" i="30276"/>
  <c r="S256" i="30276"/>
  <c r="S338" i="30276"/>
  <c r="S322" i="30276"/>
  <c r="S258" i="30276"/>
  <c r="S259" i="30276" s="1"/>
  <c r="S332" i="30276"/>
  <c r="S248" i="30276"/>
  <c r="S310" i="30276"/>
  <c r="S263" i="30276"/>
  <c r="S308" i="30276"/>
  <c r="T324" i="30276"/>
  <c r="T237" i="30276"/>
  <c r="T268" i="30276"/>
  <c r="T269" i="30276" s="1"/>
  <c r="T341" i="30276"/>
  <c r="T264" i="30276"/>
  <c r="T325" i="30276"/>
  <c r="T340" i="30276"/>
  <c r="T334" i="30276"/>
  <c r="Y252" i="30276"/>
  <c r="Y250" i="30276"/>
  <c r="J250" i="30276"/>
  <c r="J312" i="30276"/>
  <c r="J330" i="30276"/>
  <c r="J229" i="30276"/>
  <c r="K256" i="30276"/>
  <c r="K335" i="30276"/>
  <c r="K237" i="30276"/>
  <c r="M338" i="30276"/>
  <c r="M238" i="30276"/>
  <c r="M255" i="30276"/>
  <c r="F251" i="30276"/>
  <c r="F321" i="30276"/>
  <c r="F340" i="30276"/>
  <c r="F330" i="30276"/>
  <c r="F238" i="30276"/>
  <c r="F268" i="30276"/>
  <c r="F269" i="30276" s="1"/>
  <c r="F271" i="30276" s="1"/>
  <c r="F252" i="30276"/>
  <c r="F339" i="30276"/>
  <c r="F335" i="30276"/>
  <c r="F341" i="30276"/>
  <c r="F228" i="30276"/>
  <c r="F248" i="30276"/>
  <c r="F302" i="30276" s="1"/>
  <c r="M237" i="30276"/>
  <c r="M253" i="30276"/>
  <c r="M348" i="30276" s="1"/>
  <c r="M340" i="30276"/>
  <c r="M309" i="30276"/>
  <c r="T241" i="30276"/>
  <c r="T331" i="30276"/>
  <c r="T309" i="30276"/>
  <c r="T338" i="30276"/>
  <c r="T239" i="30276"/>
  <c r="T263" i="30276"/>
  <c r="T337" i="30276"/>
  <c r="T238" i="30276"/>
  <c r="T321" i="30276"/>
  <c r="T336" i="30276"/>
  <c r="T330" i="30276"/>
  <c r="T256" i="30276"/>
  <c r="T304" i="30276"/>
  <c r="T253" i="30276"/>
  <c r="T223" i="30276" s="1"/>
  <c r="U330" i="30276"/>
  <c r="U332" i="30276"/>
  <c r="U306" i="30276"/>
  <c r="U307" i="30276" s="1"/>
  <c r="U321" i="30276"/>
  <c r="U241" i="30276"/>
  <c r="U327" i="30276"/>
  <c r="Y256" i="30276"/>
  <c r="Y310" i="30276"/>
  <c r="AI340" i="30276"/>
  <c r="AI250" i="30276"/>
  <c r="AI305" i="30276"/>
  <c r="AI261" i="30276"/>
  <c r="AI262" i="30276" s="1"/>
  <c r="AI312" i="30276"/>
  <c r="J336" i="30276"/>
  <c r="J303" i="30276"/>
  <c r="J218" i="30276"/>
  <c r="J340" i="30276"/>
  <c r="J321" i="30276"/>
  <c r="J326" i="30276"/>
  <c r="J324" i="30276"/>
  <c r="J239" i="30276"/>
  <c r="J317" i="30276"/>
  <c r="J331" i="30276"/>
  <c r="AJ337" i="30276"/>
  <c r="AJ257" i="30276"/>
  <c r="AJ310" i="30276"/>
  <c r="AJ253" i="30276"/>
  <c r="AJ221" i="30276" s="1"/>
  <c r="AJ349" i="30276" s="1"/>
  <c r="K327" i="30276"/>
  <c r="K312" i="30276"/>
  <c r="K338" i="30276"/>
  <c r="K321" i="30276"/>
  <c r="K336" i="30276"/>
  <c r="K231" i="30276"/>
  <c r="K255" i="30276"/>
  <c r="M231" i="30276"/>
  <c r="M336" i="30276"/>
  <c r="M330" i="30276"/>
  <c r="M258" i="30276"/>
  <c r="M259" i="30276" s="1"/>
  <c r="M314" i="30276" s="1"/>
  <c r="F250" i="30276"/>
  <c r="Y332" i="30276"/>
  <c r="L236" i="30276"/>
  <c r="L232" i="30276"/>
  <c r="L234" i="30276"/>
  <c r="L235" i="30276"/>
  <c r="AA314" i="30276"/>
  <c r="AA341" i="30276"/>
  <c r="AA235" i="30276"/>
  <c r="AA234" i="30276"/>
  <c r="AA232" i="30276"/>
  <c r="AA236" i="30276"/>
  <c r="AC301" i="30276"/>
  <c r="AC295" i="30276"/>
  <c r="AH229" i="30276"/>
  <c r="AH264" i="30276"/>
  <c r="AH306" i="30276"/>
  <c r="AH307" i="30276" s="1"/>
  <c r="AH321" i="30276"/>
  <c r="AH258" i="30276"/>
  <c r="AH259" i="30276" s="1"/>
  <c r="AH263" i="30276"/>
  <c r="P232" i="30276"/>
  <c r="AC337" i="30276"/>
  <c r="AC232" i="30276"/>
  <c r="AC234" i="30276"/>
  <c r="AC235" i="30276"/>
  <c r="AC236" i="30276"/>
  <c r="AH233" i="30276"/>
  <c r="AH337" i="30276"/>
  <c r="AH322" i="30276"/>
  <c r="AH341" i="30276"/>
  <c r="AH340" i="30276"/>
  <c r="AH327" i="30276"/>
  <c r="AH251" i="30276"/>
  <c r="AH333" i="30276"/>
  <c r="AH304" i="30276"/>
  <c r="AH268" i="30276"/>
  <c r="AH269" i="30276" s="1"/>
  <c r="AH228" i="30276"/>
  <c r="AH255" i="30276"/>
  <c r="AH303" i="30276"/>
  <c r="AH332" i="30276"/>
  <c r="AH240" i="30276"/>
  <c r="X339" i="30276"/>
  <c r="X316" i="30276"/>
  <c r="X325" i="30276"/>
  <c r="X321" i="30276"/>
  <c r="X263" i="30276"/>
  <c r="X326" i="30276"/>
  <c r="X253" i="30276"/>
  <c r="X330" i="30276"/>
  <c r="X324" i="30276"/>
  <c r="X231" i="30276"/>
  <c r="X228" i="30276"/>
  <c r="X233" i="30276"/>
  <c r="X327" i="30276"/>
  <c r="Z341" i="30276"/>
  <c r="Z326" i="30276"/>
  <c r="Z228" i="30276"/>
  <c r="Z340" i="30276"/>
  <c r="Z268" i="30276"/>
  <c r="Z269" i="30276" s="1"/>
  <c r="Z233" i="30276"/>
  <c r="Z333" i="30276"/>
  <c r="Z250" i="30276"/>
  <c r="Z261" i="30276"/>
  <c r="Z262" i="30276" s="1"/>
  <c r="Z257" i="30276"/>
  <c r="Z327" i="30276"/>
  <c r="Z321" i="30276"/>
  <c r="Z303" i="30276"/>
  <c r="Z237" i="30276"/>
  <c r="L242" i="30276"/>
  <c r="L233" i="30276"/>
  <c r="L312" i="30276"/>
  <c r="L337" i="30276"/>
  <c r="L303" i="30276"/>
  <c r="L240" i="30276"/>
  <c r="L264" i="30276"/>
  <c r="L324" i="30276"/>
  <c r="L241" i="30276"/>
  <c r="L322" i="30276"/>
  <c r="L249" i="30276"/>
  <c r="L325" i="30276"/>
  <c r="L255" i="30276"/>
  <c r="L309" i="30276"/>
  <c r="L334" i="30276"/>
  <c r="AA318" i="30276"/>
  <c r="AA264" i="30276"/>
  <c r="AA338" i="30276"/>
  <c r="AA312" i="30276"/>
  <c r="AA327" i="30276"/>
  <c r="AA331" i="30276"/>
  <c r="AA230" i="30276"/>
  <c r="AA256" i="30276"/>
  <c r="AA325" i="30276"/>
  <c r="AA342" i="30276"/>
  <c r="AA226" i="30276"/>
  <c r="AA322" i="30276"/>
  <c r="AA218" i="30276"/>
  <c r="AA241" i="30276"/>
  <c r="AA229" i="30276"/>
  <c r="C340" i="30276"/>
  <c r="C338" i="30276"/>
  <c r="C334" i="30276"/>
  <c r="C255" i="30276"/>
  <c r="C317" i="30276"/>
  <c r="C238" i="30276"/>
  <c r="C240" i="30276"/>
  <c r="C226" i="30276"/>
  <c r="C230" i="30276"/>
  <c r="C227" i="30276"/>
  <c r="C252" i="30276"/>
  <c r="C241" i="30276"/>
  <c r="C251" i="30276"/>
  <c r="C321" i="30276"/>
  <c r="C237" i="30276"/>
  <c r="AB246" i="30276"/>
  <c r="AB334" i="30276"/>
  <c r="AB234" i="30276"/>
  <c r="AB235" i="30276"/>
  <c r="AB232" i="30276"/>
  <c r="AB236" i="30276"/>
  <c r="AB252" i="30276"/>
  <c r="AB325" i="30276"/>
  <c r="AB253" i="30276"/>
  <c r="E233" i="30276"/>
  <c r="E248" i="30276"/>
  <c r="E306" i="30276"/>
  <c r="E307" i="30276" s="1"/>
  <c r="E330" i="30276"/>
  <c r="E250" i="30276"/>
  <c r="E341" i="30276"/>
  <c r="E321" i="30276"/>
  <c r="E340" i="30276"/>
  <c r="E228" i="30276"/>
  <c r="E333" i="30276"/>
  <c r="E258" i="30276"/>
  <c r="E259" i="30276" s="1"/>
  <c r="E332" i="30276"/>
  <c r="E257" i="30276"/>
  <c r="N233" i="30276"/>
  <c r="N340" i="30276"/>
  <c r="N240" i="30276"/>
  <c r="N322" i="30276"/>
  <c r="N238" i="30276"/>
  <c r="N339" i="30276"/>
  <c r="N327" i="30276"/>
  <c r="N251" i="30276"/>
  <c r="N239" i="30276"/>
  <c r="N237" i="30276"/>
  <c r="N242" i="30276"/>
  <c r="N318" i="30276"/>
  <c r="N338" i="30276"/>
  <c r="N333" i="30276"/>
  <c r="R218" i="30276"/>
  <c r="R263" i="30276"/>
  <c r="R309" i="30276"/>
  <c r="R338" i="30276"/>
  <c r="R233" i="30276"/>
  <c r="R316" i="30276"/>
  <c r="R261" i="30276"/>
  <c r="R262" i="30276" s="1"/>
  <c r="R250" i="30276"/>
  <c r="R340" i="30276"/>
  <c r="R242" i="30276"/>
  <c r="R227" i="30276"/>
  <c r="R326" i="30276"/>
  <c r="D226" i="30276"/>
  <c r="D324" i="30276"/>
  <c r="D338" i="30276"/>
  <c r="D242" i="30276"/>
  <c r="D257" i="30276"/>
  <c r="D325" i="30276"/>
  <c r="D227" i="30276"/>
  <c r="D233" i="30276"/>
  <c r="D231" i="30276"/>
  <c r="D239" i="30276"/>
  <c r="U301" i="30276"/>
  <c r="U295" i="30276"/>
  <c r="U285" i="30276"/>
  <c r="Y335" i="30276"/>
  <c r="Y339" i="30276"/>
  <c r="Y308" i="30276"/>
  <c r="Y239" i="30276"/>
  <c r="Y325" i="30276"/>
  <c r="Y242" i="30276"/>
  <c r="AB314" i="30276"/>
  <c r="AB315" i="30276" s="1"/>
  <c r="E240" i="30276"/>
  <c r="E232" i="30276"/>
  <c r="E235" i="30276"/>
  <c r="E234" i="30276"/>
  <c r="E236" i="30276"/>
  <c r="E253" i="30276"/>
  <c r="E331" i="30276"/>
  <c r="E256" i="30276"/>
  <c r="E318" i="30276"/>
  <c r="E263" i="30276"/>
  <c r="N218" i="30276"/>
  <c r="N234" i="30276"/>
  <c r="N235" i="30276"/>
  <c r="N232" i="30276"/>
  <c r="N236" i="30276"/>
  <c r="N303" i="30276"/>
  <c r="N335" i="30276"/>
  <c r="R234" i="30276"/>
  <c r="R232" i="30276"/>
  <c r="R235" i="30276"/>
  <c r="R236" i="30276"/>
  <c r="R310" i="30276"/>
  <c r="R248" i="30276"/>
  <c r="R331" i="30276"/>
  <c r="R240" i="30276"/>
  <c r="R330" i="30276"/>
  <c r="R264" i="30276"/>
  <c r="R251" i="30276"/>
  <c r="R241" i="30276"/>
  <c r="R337" i="30276"/>
  <c r="D301" i="30276"/>
  <c r="D336" i="30276"/>
  <c r="D232" i="30276"/>
  <c r="D234" i="30276"/>
  <c r="D235" i="30276"/>
  <c r="D236" i="30276"/>
  <c r="D228" i="30276"/>
  <c r="D310" i="30276"/>
  <c r="D256" i="30276"/>
  <c r="D305" i="30276"/>
  <c r="D238" i="30276"/>
  <c r="D322" i="30276"/>
  <c r="D258" i="30276"/>
  <c r="D259" i="30276" s="1"/>
  <c r="D340" i="30276"/>
  <c r="D230" i="30276"/>
  <c r="D337" i="30276"/>
  <c r="D218" i="30276"/>
  <c r="D261" i="30276"/>
  <c r="D262" i="30276" s="1"/>
  <c r="D264" i="30276"/>
  <c r="D317" i="30276"/>
  <c r="D342" i="30276"/>
  <c r="Y230" i="30276"/>
  <c r="Y232" i="30276"/>
  <c r="Y235" i="30276"/>
  <c r="Y234" i="30276"/>
  <c r="Y236" i="30276"/>
  <c r="Y241" i="30276"/>
  <c r="Y237" i="30276"/>
  <c r="Y226" i="30276"/>
  <c r="Y326" i="30276"/>
  <c r="Y249" i="30276"/>
  <c r="Y251" i="30276"/>
  <c r="Y309" i="30276"/>
  <c r="Y317" i="30276"/>
  <c r="Y334" i="30276"/>
  <c r="Y312" i="30276"/>
  <c r="Y261" i="30276"/>
  <c r="Y262" i="30276" s="1"/>
  <c r="Y257" i="30276"/>
  <c r="Y253" i="30276"/>
  <c r="Y341" i="30276"/>
  <c r="Y336" i="30276"/>
  <c r="Y233" i="30276"/>
  <c r="Y240" i="30276"/>
  <c r="Y322" i="30276"/>
  <c r="Y258" i="30276"/>
  <c r="Y259" i="30276" s="1"/>
  <c r="Y228" i="30276"/>
  <c r="Y306" i="30276"/>
  <c r="Y307" i="30276" s="1"/>
  <c r="Y255" i="30276"/>
  <c r="Y263" i="30276"/>
  <c r="Y327" i="30276"/>
  <c r="Y338" i="30276"/>
  <c r="Y248" i="30276"/>
  <c r="Y238" i="30276"/>
  <c r="Y323" i="30276"/>
  <c r="Y316" i="30276"/>
  <c r="Y321" i="30276"/>
  <c r="AI285" i="30276"/>
  <c r="AI295" i="30276"/>
  <c r="AI301" i="30276"/>
  <c r="J221" i="30276"/>
  <c r="J349" i="30276" s="1"/>
  <c r="AH254" i="30276"/>
  <c r="AH223" i="30276"/>
  <c r="AH238" i="30276"/>
  <c r="X301" i="30276"/>
  <c r="L258" i="30276"/>
  <c r="L259" i="30276" s="1"/>
  <c r="AC254" i="30276"/>
  <c r="AC221" i="30276"/>
  <c r="AC349" i="30276" s="1"/>
  <c r="AC223" i="30276"/>
  <c r="AH318" i="30276"/>
  <c r="AH248" i="30276"/>
  <c r="AH310" i="30276"/>
  <c r="AH336" i="30276"/>
  <c r="AH326" i="30276"/>
  <c r="Z218" i="30276"/>
  <c r="Z234" i="30276"/>
  <c r="Z232" i="30276"/>
  <c r="Z235" i="30276"/>
  <c r="Z236" i="30276"/>
  <c r="L230" i="30276"/>
  <c r="L239" i="30276"/>
  <c r="L256" i="30276"/>
  <c r="L318" i="30276"/>
  <c r="L229" i="30276"/>
  <c r="L316" i="30276"/>
  <c r="L341" i="30276"/>
  <c r="L321" i="30276"/>
  <c r="L251" i="30276"/>
  <c r="L305" i="30276"/>
  <c r="L330" i="30276"/>
  <c r="L248" i="30276"/>
  <c r="L326" i="30276"/>
  <c r="L253" i="30276"/>
  <c r="L331" i="30276"/>
  <c r="AA335" i="30276"/>
  <c r="AA263" i="30276"/>
  <c r="AA231" i="30276"/>
  <c r="AA326" i="30276"/>
  <c r="AA261" i="30276"/>
  <c r="AA262" i="30276" s="1"/>
  <c r="AA308" i="30276"/>
  <c r="AA305" i="30276"/>
  <c r="AA242" i="30276"/>
  <c r="AA249" i="30276"/>
  <c r="AA260" i="30276" s="1"/>
  <c r="AA332" i="30276"/>
  <c r="AA252" i="30276"/>
  <c r="AA304" i="30276"/>
  <c r="AA237" i="30276"/>
  <c r="AA251" i="30276"/>
  <c r="C308" i="30276"/>
  <c r="C337" i="30276"/>
  <c r="C318" i="30276"/>
  <c r="C229" i="30276"/>
  <c r="C322" i="30276"/>
  <c r="C257" i="30276"/>
  <c r="C310" i="30276"/>
  <c r="C233" i="30276"/>
  <c r="C331" i="30276"/>
  <c r="C324" i="30276"/>
  <c r="C309" i="30276"/>
  <c r="C253" i="30276"/>
  <c r="C258" i="30276"/>
  <c r="C259" i="30276" s="1"/>
  <c r="C339" i="30276"/>
  <c r="AB300" i="30276"/>
  <c r="AB285" i="30276"/>
  <c r="AB301" i="30276"/>
  <c r="E229" i="30276"/>
  <c r="E241" i="30276"/>
  <c r="E249" i="30276"/>
  <c r="E239" i="30276"/>
  <c r="E227" i="30276"/>
  <c r="E264" i="30276"/>
  <c r="E324" i="30276"/>
  <c r="E268" i="30276"/>
  <c r="E269" i="30276" s="1"/>
  <c r="E230" i="30276"/>
  <c r="E252" i="30276"/>
  <c r="E310" i="30276"/>
  <c r="E255" i="30276"/>
  <c r="E317" i="30276"/>
  <c r="E338" i="30276"/>
  <c r="E312" i="30276"/>
  <c r="N310" i="30276"/>
  <c r="N323" i="30276"/>
  <c r="N256" i="30276"/>
  <c r="N265" i="30276" s="1"/>
  <c r="N253" i="30276"/>
  <c r="N264" i="30276"/>
  <c r="N316" i="30276"/>
  <c r="N308" i="30276"/>
  <c r="N321" i="30276"/>
  <c r="N334" i="30276"/>
  <c r="N341" i="30276"/>
  <c r="N317" i="30276"/>
  <c r="N229" i="30276"/>
  <c r="N268" i="30276"/>
  <c r="N269" i="30276" s="1"/>
  <c r="N249" i="30276"/>
  <c r="N304" i="30276"/>
  <c r="R303" i="30276"/>
  <c r="R332" i="30276"/>
  <c r="R257" i="30276"/>
  <c r="R313" i="30276" s="1"/>
  <c r="R230" i="30276"/>
  <c r="R339" i="30276"/>
  <c r="R256" i="30276"/>
  <c r="R342" i="30276"/>
  <c r="R304" i="30276"/>
  <c r="R341" i="30276"/>
  <c r="R229" i="30276"/>
  <c r="R255" i="30276"/>
  <c r="R327" i="30276"/>
  <c r="D316" i="30276"/>
  <c r="D334" i="30276"/>
  <c r="D309" i="30276"/>
  <c r="D341" i="30276"/>
  <c r="D308" i="30276"/>
  <c r="D253" i="30276"/>
  <c r="D326" i="30276"/>
  <c r="D250" i="30276"/>
  <c r="D304" i="30276"/>
  <c r="D318" i="30276"/>
  <c r="D252" i="30276"/>
  <c r="S223" i="30276"/>
  <c r="S221" i="30276"/>
  <c r="S349" i="30276" s="1"/>
  <c r="S348" i="30276"/>
  <c r="T314" i="30276"/>
  <c r="T315" i="30276" s="1"/>
  <c r="T285" i="30276"/>
  <c r="Y331" i="30276"/>
  <c r="Y324" i="30276"/>
  <c r="Y337" i="30276"/>
  <c r="Y330" i="30276"/>
  <c r="Y305" i="30276"/>
  <c r="Y303" i="30276"/>
  <c r="Y231" i="30276"/>
  <c r="J285" i="30276"/>
  <c r="J295" i="30276"/>
  <c r="J301" i="30276"/>
  <c r="AH237" i="30276"/>
  <c r="AH234" i="30276"/>
  <c r="AH235" i="30276"/>
  <c r="AH232" i="30276"/>
  <c r="AH236" i="30276"/>
  <c r="AH335" i="30276"/>
  <c r="AA254" i="30276"/>
  <c r="AA221" i="30276"/>
  <c r="AA349" i="30276" s="1"/>
  <c r="C236" i="30276"/>
  <c r="C235" i="30276"/>
  <c r="C232" i="30276"/>
  <c r="C234" i="30276"/>
  <c r="AH256" i="30276"/>
  <c r="AH324" i="30276"/>
  <c r="AH252" i="30276"/>
  <c r="AH242" i="30276"/>
  <c r="AH317" i="30276"/>
  <c r="AH250" i="30276"/>
  <c r="AH323" i="30276"/>
  <c r="AH325" i="30276"/>
  <c r="AH305" i="30276"/>
  <c r="AH330" i="30276"/>
  <c r="AH309" i="30276"/>
  <c r="AH334" i="30276"/>
  <c r="AH339" i="30276"/>
  <c r="AH241" i="30276"/>
  <c r="AH331" i="30276"/>
  <c r="AH338" i="30276"/>
  <c r="AH312" i="30276"/>
  <c r="AH226" i="30276"/>
  <c r="X251" i="30276"/>
  <c r="X232" i="30276"/>
  <c r="X234" i="30276"/>
  <c r="X235" i="30276"/>
  <c r="X236" i="30276"/>
  <c r="Z239" i="30276"/>
  <c r="Z338" i="30276"/>
  <c r="Z242" i="30276"/>
  <c r="Z323" i="30276"/>
  <c r="Z331" i="30276"/>
  <c r="Z318" i="30276"/>
  <c r="Z322" i="30276"/>
  <c r="Z339" i="30276"/>
  <c r="Z335" i="30276"/>
  <c r="Z253" i="30276"/>
  <c r="Z336" i="30276"/>
  <c r="Z332" i="30276"/>
  <c r="Z226" i="30276"/>
  <c r="Z251" i="30276"/>
  <c r="L228" i="30276"/>
  <c r="L237" i="30276"/>
  <c r="L263" i="30276"/>
  <c r="L317" i="30276"/>
  <c r="L338" i="30276"/>
  <c r="L218" i="30276"/>
  <c r="L336" i="30276"/>
  <c r="L261" i="30276"/>
  <c r="L262" i="30276" s="1"/>
  <c r="L339" i="30276"/>
  <c r="L304" i="30276"/>
  <c r="L327" i="30276"/>
  <c r="L250" i="30276"/>
  <c r="L231" i="30276"/>
  <c r="L252" i="30276"/>
  <c r="L310" i="30276"/>
  <c r="AA316" i="30276"/>
  <c r="AA257" i="30276"/>
  <c r="AA313" i="30276" s="1"/>
  <c r="AA336" i="30276"/>
  <c r="AA337" i="30276"/>
  <c r="AA330" i="30276"/>
  <c r="AA317" i="30276"/>
  <c r="AA306" i="30276"/>
  <c r="AA307" i="30276" s="1"/>
  <c r="AA321" i="30276"/>
  <c r="AA309" i="30276"/>
  <c r="AA340" i="30276"/>
  <c r="AA334" i="30276"/>
  <c r="AA250" i="30276"/>
  <c r="AA239" i="30276"/>
  <c r="AA227" i="30276"/>
  <c r="AA233" i="30276"/>
  <c r="C239" i="30276"/>
  <c r="C249" i="30276"/>
  <c r="C312" i="30276"/>
  <c r="C330" i="30276"/>
  <c r="C342" i="30276"/>
  <c r="C333" i="30276"/>
  <c r="C248" i="30276"/>
  <c r="C264" i="30276"/>
  <c r="C341" i="30276"/>
  <c r="C256" i="30276"/>
  <c r="C268" i="30276"/>
  <c r="C269" i="30276" s="1"/>
  <c r="C218" i="30276"/>
  <c r="C323" i="30276"/>
  <c r="C231" i="30276"/>
  <c r="C327" i="30276"/>
  <c r="E218" i="30276"/>
  <c r="E326" i="30276"/>
  <c r="E325" i="30276"/>
  <c r="E305" i="30276"/>
  <c r="E327" i="30276"/>
  <c r="E323" i="30276"/>
  <c r="E342" i="30276"/>
  <c r="E316" i="30276"/>
  <c r="E226" i="30276"/>
  <c r="E309" i="30276"/>
  <c r="E334" i="30276"/>
  <c r="E308" i="30276"/>
  <c r="E337" i="30276"/>
  <c r="E303" i="30276"/>
  <c r="E336" i="30276"/>
  <c r="N227" i="30276"/>
  <c r="N244" i="30276" s="1"/>
  <c r="N241" i="30276"/>
  <c r="N326" i="30276"/>
  <c r="N312" i="30276"/>
  <c r="N228" i="30276"/>
  <c r="N258" i="30276"/>
  <c r="N259" i="30276" s="1"/>
  <c r="N306" i="30276"/>
  <c r="N307" i="30276" s="1"/>
  <c r="N337" i="30276"/>
  <c r="N305" i="30276"/>
  <c r="N336" i="30276"/>
  <c r="N252" i="30276"/>
  <c r="N309" i="30276"/>
  <c r="N231" i="30276"/>
  <c r="N332" i="30276"/>
  <c r="R237" i="30276"/>
  <c r="R335" i="30276"/>
  <c r="R252" i="30276"/>
  <c r="R318" i="30276"/>
  <c r="R249" i="30276"/>
  <c r="R268" i="30276"/>
  <c r="R269" i="30276" s="1"/>
  <c r="R317" i="30276"/>
  <c r="R231" i="30276"/>
  <c r="R322" i="30276"/>
  <c r="R306" i="30276"/>
  <c r="R307" i="30276" s="1"/>
  <c r="R228" i="30276"/>
  <c r="R308" i="30276"/>
  <c r="R253" i="30276"/>
  <c r="D323" i="30276"/>
  <c r="D268" i="30276"/>
  <c r="D269" i="30276" s="1"/>
  <c r="D339" i="30276"/>
  <c r="D237" i="30276"/>
  <c r="D335" i="30276"/>
  <c r="D229" i="30276"/>
  <c r="D333" i="30276"/>
  <c r="D327" i="30276"/>
  <c r="D330" i="30276"/>
  <c r="D241" i="30276"/>
  <c r="D251" i="30276"/>
  <c r="S302" i="30276"/>
  <c r="S314" i="30276"/>
  <c r="S315" i="30276" s="1"/>
  <c r="S313" i="30276"/>
  <c r="U338" i="30276"/>
  <c r="U235" i="30276"/>
  <c r="U232" i="30276"/>
  <c r="U245" i="30276" s="1"/>
  <c r="U234" i="30276"/>
  <c r="U335" i="30276"/>
  <c r="U226" i="30276"/>
  <c r="U244" i="30276" s="1"/>
  <c r="U342" i="30276"/>
  <c r="U253" i="30276"/>
  <c r="U316" i="30276"/>
  <c r="U322" i="30276"/>
  <c r="U252" i="30276"/>
  <c r="U312" i="30276"/>
  <c r="U261" i="30276"/>
  <c r="U262" i="30276" s="1"/>
  <c r="U266" i="30276" s="1"/>
  <c r="U228" i="30276"/>
  <c r="U231" i="30276"/>
  <c r="U339" i="30276"/>
  <c r="U251" i="30276"/>
  <c r="U308" i="30276"/>
  <c r="U236" i="30276"/>
  <c r="U238" i="30276"/>
  <c r="U229" i="30276"/>
  <c r="U323" i="30276"/>
  <c r="U326" i="30276"/>
  <c r="U248" i="30276"/>
  <c r="U325" i="30276"/>
  <c r="U218" i="30276"/>
  <c r="U258" i="30276"/>
  <c r="U259" i="30276" s="1"/>
  <c r="U336" i="30276"/>
  <c r="U237" i="30276"/>
  <c r="U334" i="30276"/>
  <c r="U257" i="30276"/>
  <c r="U324" i="30276"/>
  <c r="U303" i="30276"/>
  <c r="U318" i="30276"/>
  <c r="Y342" i="30276"/>
  <c r="Y264" i="30276"/>
  <c r="Y333" i="30276"/>
  <c r="Y318" i="30276"/>
  <c r="Y340" i="30276"/>
  <c r="Y227" i="30276"/>
  <c r="Y218" i="30276"/>
  <c r="M302" i="30276"/>
  <c r="S226" i="30276"/>
  <c r="S244" i="30276" s="1"/>
  <c r="S235" i="30276"/>
  <c r="S234" i="30276"/>
  <c r="S232" i="30276"/>
  <c r="T246" i="30276"/>
  <c r="T232" i="30276"/>
  <c r="T234" i="30276"/>
  <c r="T235" i="30276"/>
  <c r="AI260" i="30276"/>
  <c r="AI314" i="30276"/>
  <c r="AI315" i="30276" s="1"/>
  <c r="AI300" i="30276"/>
  <c r="AI252" i="30276"/>
  <c r="AI234" i="30276"/>
  <c r="AI235" i="30276"/>
  <c r="AI232" i="30276"/>
  <c r="AI243" i="30276" s="1"/>
  <c r="J248" i="30276"/>
  <c r="J264" i="30276"/>
  <c r="J266" i="30276" s="1"/>
  <c r="J334" i="30276"/>
  <c r="J226" i="30276"/>
  <c r="J244" i="30276" s="1"/>
  <c r="J251" i="30276"/>
  <c r="J305" i="30276"/>
  <c r="J338" i="30276"/>
  <c r="J255" i="30276"/>
  <c r="J309" i="30276"/>
  <c r="J311" i="30276" s="1"/>
  <c r="J342" i="30276"/>
  <c r="J233" i="30276"/>
  <c r="J332" i="30276"/>
  <c r="J306" i="30276"/>
  <c r="J307" i="30276" s="1"/>
  <c r="AJ316" i="30276"/>
  <c r="AJ263" i="30276"/>
  <c r="AJ326" i="30276"/>
  <c r="AJ237" i="30276"/>
  <c r="AJ238" i="30276"/>
  <c r="AJ334" i="30276"/>
  <c r="AJ340" i="30276"/>
  <c r="AJ261" i="30276"/>
  <c r="AJ262" i="30276" s="1"/>
  <c r="AJ228" i="30276"/>
  <c r="AJ218" i="30276"/>
  <c r="AJ256" i="30276"/>
  <c r="AJ265" i="30276" s="1"/>
  <c r="AJ252" i="30276"/>
  <c r="AJ317" i="30276"/>
  <c r="AJ233" i="30276"/>
  <c r="AJ306" i="30276"/>
  <c r="AJ307" i="30276" s="1"/>
  <c r="K339" i="30276"/>
  <c r="K316" i="30276"/>
  <c r="K303" i="30276"/>
  <c r="K330" i="30276"/>
  <c r="K261" i="30276"/>
  <c r="K262" i="30276" s="1"/>
  <c r="K263" i="30276"/>
  <c r="K227" i="30276"/>
  <c r="K248" i="30276"/>
  <c r="K249" i="30276"/>
  <c r="K342" i="30276"/>
  <c r="K332" i="30276"/>
  <c r="K253" i="30276"/>
  <c r="K310" i="30276"/>
  <c r="K334" i="30276"/>
  <c r="K258" i="30276"/>
  <c r="K259" i="30276" s="1"/>
  <c r="AG324" i="30276"/>
  <c r="AG331" i="30276"/>
  <c r="AG326" i="30276"/>
  <c r="AG325" i="30276"/>
  <c r="AG321" i="30276"/>
  <c r="AG338" i="30276"/>
  <c r="AG334" i="30276"/>
  <c r="M226" i="30276"/>
  <c r="M218" i="30276"/>
  <c r="M312" i="30276"/>
  <c r="M337" i="30276"/>
  <c r="M335" i="30276"/>
  <c r="M268" i="30276"/>
  <c r="M269" i="30276" s="1"/>
  <c r="M323" i="30276"/>
  <c r="M321" i="30276"/>
  <c r="M304" i="30276"/>
  <c r="M327" i="30276"/>
  <c r="M325" i="30276"/>
  <c r="M241" i="30276"/>
  <c r="M326" i="30276"/>
  <c r="M310" i="30276"/>
  <c r="M242" i="30276"/>
  <c r="Q311" i="30276"/>
  <c r="F254" i="30276"/>
  <c r="F348" i="30276"/>
  <c r="F285" i="30276"/>
  <c r="F301" i="30276"/>
  <c r="F295" i="30276"/>
  <c r="F314" i="30276"/>
  <c r="F315" i="30276" s="1"/>
  <c r="F303" i="30276"/>
  <c r="F234" i="30276"/>
  <c r="F235" i="30276"/>
  <c r="F232" i="30276"/>
  <c r="F247" i="30276" s="1"/>
  <c r="B313" i="30276"/>
  <c r="B302" i="30276"/>
  <c r="G265" i="30276"/>
  <c r="G311" i="30276"/>
  <c r="G295" i="30276"/>
  <c r="G285" i="30276"/>
  <c r="G300" i="30276"/>
  <c r="AF301" i="30276"/>
  <c r="AF295" i="30276"/>
  <c r="AF285" i="30276"/>
  <c r="AF313" i="30276"/>
  <c r="T236" i="30276"/>
  <c r="M236" i="30276"/>
  <c r="J265" i="30276"/>
  <c r="AJ342" i="30276"/>
  <c r="AJ318" i="30276"/>
  <c r="AJ258" i="30276"/>
  <c r="AJ259" i="30276" s="1"/>
  <c r="AJ325" i="30276"/>
  <c r="AJ335" i="30276"/>
  <c r="AJ323" i="30276"/>
  <c r="AJ250" i="30276"/>
  <c r="AJ239" i="30276"/>
  <c r="AJ255" i="30276"/>
  <c r="AJ327" i="30276"/>
  <c r="AJ336" i="30276"/>
  <c r="AJ312" i="30276"/>
  <c r="AJ331" i="30276"/>
  <c r="AJ304" i="30276"/>
  <c r="AJ341" i="30276"/>
  <c r="K218" i="30276"/>
  <c r="K235" i="30276"/>
  <c r="K232" i="30276"/>
  <c r="K234" i="30276"/>
  <c r="K230" i="30276"/>
  <c r="K238" i="30276"/>
  <c r="AG348" i="30276"/>
  <c r="AG223" i="30276"/>
  <c r="AG254" i="30276"/>
  <c r="AG314" i="30276"/>
  <c r="AG295" i="30276"/>
  <c r="AG285" i="30276"/>
  <c r="M229" i="30276"/>
  <c r="M261" i="30276"/>
  <c r="M262" i="30276" s="1"/>
  <c r="M332" i="30276"/>
  <c r="M318" i="30276"/>
  <c r="M240" i="30276"/>
  <c r="M316" i="30276"/>
  <c r="M341" i="30276"/>
  <c r="M339" i="30276"/>
  <c r="M322" i="30276"/>
  <c r="M306" i="30276"/>
  <c r="M307" i="30276" s="1"/>
  <c r="M251" i="30276"/>
  <c r="M227" i="30276"/>
  <c r="M252" i="30276"/>
  <c r="M334" i="30276"/>
  <c r="Q300" i="30276"/>
  <c r="Q265" i="30276"/>
  <c r="F266" i="30276"/>
  <c r="F244" i="30276"/>
  <c r="B244" i="30276"/>
  <c r="G314" i="30276"/>
  <c r="G315" i="30276" s="1"/>
  <c r="AF246" i="30276"/>
  <c r="AJ295" i="30276"/>
  <c r="AJ301" i="30276"/>
  <c r="AJ230" i="30276"/>
  <c r="AJ234" i="30276"/>
  <c r="AJ235" i="30276"/>
  <c r="AJ232" i="30276"/>
  <c r="AG302" i="30276"/>
  <c r="AG300" i="30276"/>
  <c r="AG244" i="30276"/>
  <c r="M221" i="30276"/>
  <c r="M349" i="30276" s="1"/>
  <c r="M301" i="30276"/>
  <c r="M285" i="30276"/>
  <c r="M260" i="30276"/>
  <c r="M233" i="30276"/>
  <c r="M234" i="30276"/>
  <c r="M235" i="30276"/>
  <c r="M232" i="30276"/>
  <c r="Q295" i="30276"/>
  <c r="Q301" i="30276"/>
  <c r="Q285" i="30276"/>
  <c r="Q260" i="30276"/>
  <c r="Q314" i="30276"/>
  <c r="Q315" i="30276" s="1"/>
  <c r="F246" i="30276"/>
  <c r="B246" i="30276"/>
  <c r="B314" i="30276"/>
  <c r="B315" i="30276" s="1"/>
  <c r="B260" i="30276"/>
  <c r="G246" i="30276"/>
  <c r="G254" i="30276"/>
  <c r="G221" i="30276"/>
  <c r="G349" i="30276" s="1"/>
  <c r="G348" i="30276"/>
  <c r="AF300" i="30276"/>
  <c r="AF302" i="30276"/>
  <c r="AF314" i="30276"/>
  <c r="AF315" i="30276" s="1"/>
  <c r="AF260" i="30276"/>
  <c r="AF254" i="30276"/>
  <c r="AF223" i="30276"/>
  <c r="AF348" i="30276"/>
  <c r="AF221" i="30276"/>
  <c r="AF349" i="30276" s="1"/>
  <c r="AF230" i="30276"/>
  <c r="AF234" i="30276"/>
  <c r="AF232" i="30276"/>
  <c r="AF245" i="30276" s="1"/>
  <c r="AF235" i="30276"/>
  <c r="AF236" i="30276"/>
  <c r="AI236" i="30276"/>
  <c r="T265" i="30276"/>
  <c r="T254" i="30276"/>
  <c r="AI223" i="30276"/>
  <c r="AI221" i="30276"/>
  <c r="AI349" i="30276" s="1"/>
  <c r="AI348" i="30276"/>
  <c r="AI254" i="30276"/>
  <c r="AI246" i="30276"/>
  <c r="J228" i="30276"/>
  <c r="J235" i="30276"/>
  <c r="J234" i="30276"/>
  <c r="J232" i="30276"/>
  <c r="J245" i="30276" s="1"/>
  <c r="AJ248" i="30276"/>
  <c r="AJ242" i="30276"/>
  <c r="AJ309" i="30276"/>
  <c r="AJ324" i="30276"/>
  <c r="AJ308" i="30276"/>
  <c r="AJ241" i="30276"/>
  <c r="AJ339" i="30276"/>
  <c r="AJ303" i="30276"/>
  <c r="AJ229" i="30276"/>
  <c r="AJ330" i="30276"/>
  <c r="AJ240" i="30276"/>
  <c r="AJ227" i="30276"/>
  <c r="AJ264" i="30276"/>
  <c r="AJ251" i="30276"/>
  <c r="K242" i="30276"/>
  <c r="K304" i="30276"/>
  <c r="K264" i="30276"/>
  <c r="K229" i="30276"/>
  <c r="K240" i="30276"/>
  <c r="K317" i="30276"/>
  <c r="K340" i="30276"/>
  <c r="K341" i="30276"/>
  <c r="K325" i="30276"/>
  <c r="K241" i="30276"/>
  <c r="K257" i="30276"/>
  <c r="K326" i="30276"/>
  <c r="K252" i="30276"/>
  <c r="K309" i="30276"/>
  <c r="K333" i="30276"/>
  <c r="AG313" i="30276"/>
  <c r="AG311" i="30276"/>
  <c r="AG233" i="30276"/>
  <c r="AG235" i="30276"/>
  <c r="AG234" i="30276"/>
  <c r="AG232" i="30276"/>
  <c r="AG245" i="30276" s="1"/>
  <c r="M257" i="30276"/>
  <c r="M263" i="30276"/>
  <c r="M317" i="30276"/>
  <c r="M303" i="30276"/>
  <c r="M239" i="30276"/>
  <c r="M264" i="30276"/>
  <c r="M342" i="30276"/>
  <c r="M230" i="30276"/>
  <c r="M305" i="30276"/>
  <c r="M250" i="30276"/>
  <c r="M228" i="30276"/>
  <c r="M308" i="30276"/>
  <c r="M333" i="30276"/>
  <c r="M331" i="30276"/>
  <c r="Q254" i="30276"/>
  <c r="Q221" i="30276"/>
  <c r="Q349" i="30276" s="1"/>
  <c r="Q223" i="30276"/>
  <c r="Q244" i="30276"/>
  <c r="Q246" i="30276"/>
  <c r="Q342" i="30276"/>
  <c r="Q234" i="30276"/>
  <c r="Q235" i="30276"/>
  <c r="Q232" i="30276"/>
  <c r="Q245" i="30276" s="1"/>
  <c r="B223" i="30276"/>
  <c r="B221" i="30276"/>
  <c r="B349" i="30276" s="1"/>
  <c r="B348" i="30276"/>
  <c r="B254" i="30276"/>
  <c r="B295" i="30276"/>
  <c r="B301" i="30276"/>
  <c r="B285" i="30276"/>
  <c r="B340" i="30276"/>
  <c r="B234" i="30276"/>
  <c r="B232" i="30276"/>
  <c r="B245" i="30276" s="1"/>
  <c r="B235" i="30276"/>
  <c r="G234" i="30276"/>
  <c r="G235" i="30276"/>
  <c r="G232" i="30276"/>
  <c r="G245" i="30276" s="1"/>
  <c r="AF266" i="30276"/>
  <c r="F236" i="30276"/>
  <c r="AG236" i="30276"/>
  <c r="J236" i="30276"/>
  <c r="S236" i="30276"/>
  <c r="I231" i="30276"/>
  <c r="P318" i="30276"/>
  <c r="P337" i="30276"/>
  <c r="P335" i="30276"/>
  <c r="P336" i="30276"/>
  <c r="P323" i="30276"/>
  <c r="P326" i="30276"/>
  <c r="P226" i="30276"/>
  <c r="P264" i="30276"/>
  <c r="P316" i="30276"/>
  <c r="P249" i="30276"/>
  <c r="P301" i="30276" s="1"/>
  <c r="P241" i="30276"/>
  <c r="P327" i="30276"/>
  <c r="P332" i="30276"/>
  <c r="P325" i="30276"/>
  <c r="P330" i="30276"/>
  <c r="P250" i="30276"/>
  <c r="P312" i="30276"/>
  <c r="P304" i="30276"/>
  <c r="P303" i="30276"/>
  <c r="P263" i="30276"/>
  <c r="P252" i="30276"/>
  <c r="P218" i="30276"/>
  <c r="P310" i="30276"/>
  <c r="I316" i="30276"/>
  <c r="P239" i="30276"/>
  <c r="P230" i="30276"/>
  <c r="P255" i="30276"/>
  <c r="P261" i="30276"/>
  <c r="P262" i="30276" s="1"/>
  <c r="P231" i="30276"/>
  <c r="P258" i="30276"/>
  <c r="P259" i="30276" s="1"/>
  <c r="P314" i="30276" s="1"/>
  <c r="P324" i="30276"/>
  <c r="I336" i="30276"/>
  <c r="P229" i="30276"/>
  <c r="P233" i="30276"/>
  <c r="P331" i="30276"/>
  <c r="P251" i="30276"/>
  <c r="I248" i="30276"/>
  <c r="I239" i="30276"/>
  <c r="I330" i="30276"/>
  <c r="I324" i="30276"/>
  <c r="I249" i="30276"/>
  <c r="I303" i="30276"/>
  <c r="I342" i="30276"/>
  <c r="I218" i="30276"/>
  <c r="I256" i="30276"/>
  <c r="I241" i="30276"/>
  <c r="I237" i="30276"/>
  <c r="I339" i="30276"/>
  <c r="I264" i="30276"/>
  <c r="I230" i="30276"/>
  <c r="I341" i="30276"/>
  <c r="I242" i="30276"/>
  <c r="I332" i="30276"/>
  <c r="I323" i="30276"/>
  <c r="I234" i="30276"/>
  <c r="I268" i="30276"/>
  <c r="P305" i="30276"/>
  <c r="P339" i="30276"/>
  <c r="P240" i="30276"/>
  <c r="P227" i="30276"/>
  <c r="P341" i="30276"/>
  <c r="P342" i="30276"/>
  <c r="P253" i="30276"/>
  <c r="P254" i="30276" s="1"/>
  <c r="P257" i="30276"/>
  <c r="P322" i="30276"/>
  <c r="P308" i="30276"/>
  <c r="P338" i="30276"/>
  <c r="P268" i="30276"/>
  <c r="P269" i="30276" s="1"/>
  <c r="P334" i="30276"/>
  <c r="P248" i="30276"/>
  <c r="P306" i="30276"/>
  <c r="P307" i="30276" s="1"/>
  <c r="P340" i="30276"/>
  <c r="P256" i="30276"/>
  <c r="P317" i="30276"/>
  <c r="P309" i="30276"/>
  <c r="P333" i="30276"/>
  <c r="P238" i="30276"/>
  <c r="P228" i="30276"/>
  <c r="P321" i="30276"/>
  <c r="P237" i="30276"/>
  <c r="I238" i="30276"/>
  <c r="I321" i="30276"/>
  <c r="I226" i="30276"/>
  <c r="I233" i="30276"/>
  <c r="I310" i="30276"/>
  <c r="I337" i="30276"/>
  <c r="I327" i="30276"/>
  <c r="I263" i="30276"/>
  <c r="I257" i="30276"/>
  <c r="I335" i="30276"/>
  <c r="I340" i="30276"/>
  <c r="I306" i="30276"/>
  <c r="I227" i="30276"/>
  <c r="I261" i="30276"/>
  <c r="I262" i="30276" s="1"/>
  <c r="I251" i="30276"/>
  <c r="I252" i="30276"/>
  <c r="I325" i="30276"/>
  <c r="I308" i="30276"/>
  <c r="I322" i="30276"/>
  <c r="I317" i="30276"/>
  <c r="I250" i="30276"/>
  <c r="I240" i="30276"/>
  <c r="I229" i="30276"/>
  <c r="I312" i="30276"/>
  <c r="I333" i="30276"/>
  <c r="I228" i="30276"/>
  <c r="I338" i="30276"/>
  <c r="I304" i="30276"/>
  <c r="I258" i="30276"/>
  <c r="I259" i="30276" s="1"/>
  <c r="I236" i="30276"/>
  <c r="I232" i="30276"/>
  <c r="I235" i="30276"/>
  <c r="I255" i="30276"/>
  <c r="I334" i="30276"/>
  <c r="I309" i="30276"/>
  <c r="I331" i="30276"/>
  <c r="I318" i="30276"/>
  <c r="I326" i="30276"/>
  <c r="I253" i="30276"/>
  <c r="I254" i="30276" s="1"/>
  <c r="P235" i="30276"/>
  <c r="P234" i="30276"/>
  <c r="P236" i="30276"/>
  <c r="W245" i="30276" l="1"/>
  <c r="G271" i="30276"/>
  <c r="D302" i="30276"/>
  <c r="B265" i="30276"/>
  <c r="AI311" i="30276"/>
  <c r="X311" i="30276"/>
  <c r="G244" i="30276"/>
  <c r="B300" i="30276"/>
  <c r="S300" i="30276"/>
  <c r="AJ348" i="30276"/>
  <c r="AE350" i="30276"/>
  <c r="AE265" i="30276"/>
  <c r="P245" i="30276"/>
  <c r="Y266" i="30276"/>
  <c r="L246" i="30276"/>
  <c r="F300" i="30276"/>
  <c r="AE271" i="30276"/>
  <c r="C86" i="30287"/>
  <c r="C87" i="30287" s="1"/>
  <c r="C88" i="30287" s="1"/>
  <c r="S295" i="30276"/>
  <c r="AJ244" i="30276"/>
  <c r="J246" i="30276"/>
  <c r="T348" i="30276"/>
  <c r="M223" i="30276"/>
  <c r="G260" i="30276"/>
  <c r="B271" i="30276"/>
  <c r="AG301" i="30276"/>
  <c r="F260" i="30276"/>
  <c r="F223" i="30276"/>
  <c r="K244" i="30276"/>
  <c r="L265" i="30276"/>
  <c r="Z285" i="30276"/>
  <c r="J223" i="30276"/>
  <c r="AC313" i="30276"/>
  <c r="C70" i="30287"/>
  <c r="C71" i="30287" s="1"/>
  <c r="C72" i="30287" s="1"/>
  <c r="W271" i="30276"/>
  <c r="W350" i="30276"/>
  <c r="M254" i="30276"/>
  <c r="T245" i="30276"/>
  <c r="R311" i="30276"/>
  <c r="W246" i="30276"/>
  <c r="W244" i="30276"/>
  <c r="W311" i="30276"/>
  <c r="W295" i="30276"/>
  <c r="W301" i="30276"/>
  <c r="W285" i="30276"/>
  <c r="AG315" i="30276"/>
  <c r="S245" i="30276"/>
  <c r="AE315" i="30276"/>
  <c r="AE302" i="30276"/>
  <c r="W314" i="30276"/>
  <c r="W315" i="30276" s="1"/>
  <c r="W260" i="30276"/>
  <c r="W266" i="30276"/>
  <c r="W313" i="30276"/>
  <c r="W243" i="30276"/>
  <c r="W247" i="30276"/>
  <c r="M271" i="30276"/>
  <c r="G38" i="30287"/>
  <c r="G39" i="30287" s="1"/>
  <c r="G40" i="30287" s="1"/>
  <c r="P271" i="30276"/>
  <c r="C54" i="30287"/>
  <c r="C55" i="30287" s="1"/>
  <c r="C56" i="30287" s="1"/>
  <c r="AH271" i="30276"/>
  <c r="F86" i="30287"/>
  <c r="F87" i="30287" s="1"/>
  <c r="F88" i="30287" s="1"/>
  <c r="T271" i="30276"/>
  <c r="G54" i="30287"/>
  <c r="G55" i="30287" s="1"/>
  <c r="G56" i="30287" s="1"/>
  <c r="AC271" i="30276"/>
  <c r="I70" i="30287"/>
  <c r="I71" i="30287" s="1"/>
  <c r="I72" i="30287" s="1"/>
  <c r="K271" i="30276"/>
  <c r="E38" i="30287"/>
  <c r="E39" i="30287" s="1"/>
  <c r="E40" i="30287" s="1"/>
  <c r="S271" i="30276"/>
  <c r="F54" i="30287"/>
  <c r="F55" i="30287" s="1"/>
  <c r="F56" i="30287" s="1"/>
  <c r="Q271" i="30276"/>
  <c r="D54" i="30287"/>
  <c r="D55" i="30287" s="1"/>
  <c r="D56" i="30287" s="1"/>
  <c r="R271" i="30276"/>
  <c r="E54" i="30287"/>
  <c r="E55" i="30287" s="1"/>
  <c r="E56" i="30287" s="1"/>
  <c r="Z271" i="30276"/>
  <c r="F70" i="30287"/>
  <c r="F71" i="30287" s="1"/>
  <c r="F72" i="30287" s="1"/>
  <c r="G22" i="30287"/>
  <c r="G23" i="30287" s="1"/>
  <c r="G24" i="30287" s="1"/>
  <c r="X271" i="30276"/>
  <c r="D70" i="30287"/>
  <c r="D71" i="30287" s="1"/>
  <c r="D72" i="30287" s="1"/>
  <c r="AG271" i="30276"/>
  <c r="E86" i="30287"/>
  <c r="E87" i="30287" s="1"/>
  <c r="E88" i="30287" s="1"/>
  <c r="L271" i="30276"/>
  <c r="F38" i="30287"/>
  <c r="F39" i="30287" s="1"/>
  <c r="F40" i="30287" s="1"/>
  <c r="AB271" i="30276"/>
  <c r="H70" i="30287"/>
  <c r="H71" i="30287" s="1"/>
  <c r="H72" i="30287" s="1"/>
  <c r="U271" i="30276"/>
  <c r="H54" i="30287"/>
  <c r="H55" i="30287" s="1"/>
  <c r="H56" i="30287" s="1"/>
  <c r="J271" i="30276"/>
  <c r="D38" i="30287"/>
  <c r="D39" i="30287" s="1"/>
  <c r="D40" i="30287" s="1"/>
  <c r="AF271" i="30276"/>
  <c r="D86" i="30287"/>
  <c r="D87" i="30287" s="1"/>
  <c r="D88" i="30287" s="1"/>
  <c r="Y271" i="30276"/>
  <c r="E70" i="30287"/>
  <c r="E71" i="30287" s="1"/>
  <c r="E72" i="30287" s="1"/>
  <c r="N271" i="30276"/>
  <c r="H38" i="30287"/>
  <c r="H39" i="30287" s="1"/>
  <c r="H40" i="30287" s="1"/>
  <c r="AJ271" i="30276"/>
  <c r="H86" i="30287"/>
  <c r="H87" i="30287" s="1"/>
  <c r="H88" i="30287" s="1"/>
  <c r="AI271" i="30276"/>
  <c r="G86" i="30287"/>
  <c r="G87" i="30287" s="1"/>
  <c r="G88" i="30287" s="1"/>
  <c r="X295" i="30276"/>
  <c r="AH348" i="30276"/>
  <c r="AH350" i="30276" s="1"/>
  <c r="AH301" i="30276"/>
  <c r="AC302" i="30276"/>
  <c r="Q266" i="30276"/>
  <c r="AC247" i="30276"/>
  <c r="S266" i="30276"/>
  <c r="T311" i="30276"/>
  <c r="P244" i="30276"/>
  <c r="Z302" i="30276"/>
  <c r="T260" i="30276"/>
  <c r="AF265" i="30276"/>
  <c r="X260" i="30276"/>
  <c r="AC266" i="30276"/>
  <c r="AC260" i="30276"/>
  <c r="X300" i="30276"/>
  <c r="AI265" i="30276"/>
  <c r="AJ223" i="30276"/>
  <c r="L311" i="30276"/>
  <c r="AA223" i="30276"/>
  <c r="AC265" i="30276"/>
  <c r="T221" i="30276"/>
  <c r="T349" i="30276" s="1"/>
  <c r="T350" i="30276" s="1"/>
  <c r="M295" i="30276"/>
  <c r="AJ254" i="30276"/>
  <c r="U311" i="30276"/>
  <c r="C266" i="30276"/>
  <c r="Z265" i="30276"/>
  <c r="AC314" i="30276"/>
  <c r="AC315" i="30276" s="1"/>
  <c r="AB265" i="30276"/>
  <c r="X302" i="30276"/>
  <c r="E266" i="30276"/>
  <c r="J260" i="30276"/>
  <c r="AI266" i="30276"/>
  <c r="AB260" i="30276"/>
  <c r="X246" i="30276"/>
  <c r="AG265" i="30276"/>
  <c r="B266" i="30276"/>
  <c r="M245" i="30276"/>
  <c r="C265" i="30276"/>
  <c r="R266" i="30276"/>
  <c r="S311" i="30276"/>
  <c r="AH313" i="30276"/>
  <c r="Q313" i="30276"/>
  <c r="J315" i="30276"/>
  <c r="AG266" i="30276"/>
  <c r="AJ266" i="30276"/>
  <c r="T300" i="30276"/>
  <c r="S260" i="30276"/>
  <c r="Z244" i="30276"/>
  <c r="X245" i="30276"/>
  <c r="C245" i="30276"/>
  <c r="T301" i="30276"/>
  <c r="N266" i="30276"/>
  <c r="Z301" i="30276"/>
  <c r="S285" i="30276"/>
  <c r="D285" i="30276"/>
  <c r="J313" i="30276"/>
  <c r="AB311" i="30276"/>
  <c r="E244" i="30276"/>
  <c r="D300" i="30276"/>
  <c r="E265" i="30276"/>
  <c r="AB313" i="30276"/>
  <c r="T266" i="30276"/>
  <c r="K311" i="30276"/>
  <c r="AH244" i="30276"/>
  <c r="T295" i="30276"/>
  <c r="R244" i="30276"/>
  <c r="AC246" i="30276"/>
  <c r="G313" i="30276"/>
  <c r="B311" i="30276"/>
  <c r="G266" i="30276"/>
  <c r="D265" i="30276"/>
  <c r="Z260" i="30276"/>
  <c r="AC244" i="30276"/>
  <c r="L247" i="30276"/>
  <c r="AI245" i="30276"/>
  <c r="Z311" i="30276"/>
  <c r="Z266" i="30276"/>
  <c r="N302" i="30276"/>
  <c r="U313" i="30276"/>
  <c r="M311" i="30276"/>
  <c r="AH265" i="30276"/>
  <c r="L243" i="30276"/>
  <c r="Z245" i="30276"/>
  <c r="Z300" i="30276"/>
  <c r="J348" i="30276"/>
  <c r="J350" i="30276" s="1"/>
  <c r="R315" i="30276"/>
  <c r="AH295" i="30276"/>
  <c r="Z313" i="30276"/>
  <c r="L245" i="30276"/>
  <c r="X244" i="30276"/>
  <c r="T244" i="30276"/>
  <c r="AI247" i="30276"/>
  <c r="K313" i="30276"/>
  <c r="AH266" i="30276"/>
  <c r="T302" i="30276"/>
  <c r="E313" i="30276"/>
  <c r="F243" i="30276"/>
  <c r="F313" i="30276"/>
  <c r="AB302" i="30276"/>
  <c r="AI350" i="30276"/>
  <c r="AF350" i="30276"/>
  <c r="G350" i="30276"/>
  <c r="Y313" i="30276"/>
  <c r="K245" i="30276"/>
  <c r="Q350" i="30276"/>
  <c r="AC243" i="30276"/>
  <c r="S265" i="30276"/>
  <c r="L244" i="30276"/>
  <c r="C244" i="30276"/>
  <c r="M315" i="30276"/>
  <c r="E311" i="30276"/>
  <c r="D311" i="30276"/>
  <c r="C311" i="30276"/>
  <c r="AH311" i="30276"/>
  <c r="L313" i="30276"/>
  <c r="AC245" i="30276"/>
  <c r="P348" i="30276"/>
  <c r="M266" i="30276"/>
  <c r="F245" i="30276"/>
  <c r="X313" i="30276"/>
  <c r="P302" i="30276"/>
  <c r="B350" i="30276"/>
  <c r="J243" i="30276"/>
  <c r="G243" i="30276"/>
  <c r="M350" i="30276"/>
  <c r="AG243" i="30276"/>
  <c r="K265" i="30276"/>
  <c r="AJ350" i="30276"/>
  <c r="AF247" i="30276"/>
  <c r="AG350" i="30276"/>
  <c r="F350" i="30276"/>
  <c r="K260" i="30276"/>
  <c r="K314" i="30276"/>
  <c r="K315" i="30276" s="1"/>
  <c r="K246" i="30276"/>
  <c r="K247" i="30276"/>
  <c r="K243" i="30276"/>
  <c r="T243" i="30276"/>
  <c r="S246" i="30276"/>
  <c r="U314" i="30276"/>
  <c r="U315" i="30276" s="1"/>
  <c r="U260" i="30276"/>
  <c r="U265" i="30276"/>
  <c r="C271" i="30276"/>
  <c r="D22" i="30287"/>
  <c r="D23" i="30287" s="1"/>
  <c r="D24" i="30287" s="1"/>
  <c r="C300" i="30276"/>
  <c r="C302" i="30276"/>
  <c r="AA246" i="30276"/>
  <c r="AA247" i="30276"/>
  <c r="AA243" i="30276"/>
  <c r="X243" i="30276"/>
  <c r="AA350" i="30276"/>
  <c r="AL271" i="30276"/>
  <c r="N311" i="30276"/>
  <c r="C254" i="30276"/>
  <c r="C221" i="30276"/>
  <c r="C349" i="30276" s="1"/>
  <c r="C223" i="30276"/>
  <c r="C348" i="30276"/>
  <c r="AA311" i="30276"/>
  <c r="AH300" i="30276"/>
  <c r="AH302" i="30276"/>
  <c r="AC350" i="30276"/>
  <c r="AH246" i="30276"/>
  <c r="Y221" i="30276"/>
  <c r="Y349" i="30276" s="1"/>
  <c r="Y254" i="30276"/>
  <c r="Y223" i="30276"/>
  <c r="Y348" i="30276"/>
  <c r="Y301" i="30276"/>
  <c r="Y295" i="30276"/>
  <c r="Y285" i="30276"/>
  <c r="Y245" i="30276"/>
  <c r="D314" i="30276"/>
  <c r="D315" i="30276" s="1"/>
  <c r="D260" i="30276"/>
  <c r="R300" i="30276"/>
  <c r="R302" i="30276"/>
  <c r="R245" i="30276"/>
  <c r="N245" i="30276"/>
  <c r="U246" i="30276"/>
  <c r="AA244" i="30276"/>
  <c r="Z247" i="30276"/>
  <c r="P313" i="30276"/>
  <c r="AJ311" i="30276"/>
  <c r="AJ302" i="30276"/>
  <c r="AJ300" i="30276"/>
  <c r="B247" i="30276"/>
  <c r="AJ245" i="30276"/>
  <c r="AF243" i="30276"/>
  <c r="T247" i="30276"/>
  <c r="S247" i="30276"/>
  <c r="R254" i="30276"/>
  <c r="R348" i="30276"/>
  <c r="R221" i="30276"/>
  <c r="R349" i="30276" s="1"/>
  <c r="R223" i="30276"/>
  <c r="R301" i="30276"/>
  <c r="R295" i="30276"/>
  <c r="R285" i="30276"/>
  <c r="C301" i="30276"/>
  <c r="C285" i="30276"/>
  <c r="C295" i="30276"/>
  <c r="Z223" i="30276"/>
  <c r="Z254" i="30276"/>
  <c r="Z348" i="30276"/>
  <c r="Z221" i="30276"/>
  <c r="Z349" i="30276" s="1"/>
  <c r="S350" i="30276"/>
  <c r="N295" i="30276"/>
  <c r="N285" i="30276"/>
  <c r="N301" i="30276"/>
  <c r="E246" i="30276"/>
  <c r="E247" i="30276"/>
  <c r="AA295" i="30276"/>
  <c r="AA285" i="30276"/>
  <c r="AA301" i="30276"/>
  <c r="L302" i="30276"/>
  <c r="L300" i="30276"/>
  <c r="N300" i="30276"/>
  <c r="Y311" i="30276"/>
  <c r="U243" i="30276"/>
  <c r="D313" i="30276"/>
  <c r="D244" i="30276"/>
  <c r="AB223" i="30276"/>
  <c r="AB221" i="30276"/>
  <c r="AB349" i="30276" s="1"/>
  <c r="AB348" i="30276"/>
  <c r="AB254" i="30276"/>
  <c r="AB247" i="30276"/>
  <c r="AB245" i="30276"/>
  <c r="AA266" i="30276"/>
  <c r="AA245" i="30276"/>
  <c r="Q243" i="30276"/>
  <c r="AJ243" i="30276"/>
  <c r="AJ246" i="30276"/>
  <c r="AJ247" i="30276"/>
  <c r="J247" i="30276"/>
  <c r="AG247" i="30276"/>
  <c r="AJ314" i="30276"/>
  <c r="AJ315" i="30276" s="1"/>
  <c r="AJ260" i="30276"/>
  <c r="K285" i="30276"/>
  <c r="K301" i="30276"/>
  <c r="K295" i="30276"/>
  <c r="K266" i="30276"/>
  <c r="J302" i="30276"/>
  <c r="J300" i="30276"/>
  <c r="N260" i="30276"/>
  <c r="N314" i="30276"/>
  <c r="N315" i="30276" s="1"/>
  <c r="X247" i="30276"/>
  <c r="D221" i="30276"/>
  <c r="D349" i="30276" s="1"/>
  <c r="D348" i="30276"/>
  <c r="D254" i="30276"/>
  <c r="D223" i="30276"/>
  <c r="R265" i="30276"/>
  <c r="E271" i="30276"/>
  <c r="F22" i="30287"/>
  <c r="F23" i="30287" s="1"/>
  <c r="F24" i="30287" s="1"/>
  <c r="C313" i="30276"/>
  <c r="L314" i="30276"/>
  <c r="L315" i="30276" s="1"/>
  <c r="L260" i="30276"/>
  <c r="Y314" i="30276"/>
  <c r="Y315" i="30276" s="1"/>
  <c r="Y260" i="30276"/>
  <c r="Y244" i="30276"/>
  <c r="Y265" i="30276"/>
  <c r="D266" i="30276"/>
  <c r="D245" i="30276"/>
  <c r="R260" i="30276"/>
  <c r="E260" i="30276"/>
  <c r="E314" i="30276"/>
  <c r="E315" i="30276" s="1"/>
  <c r="AB243" i="30276"/>
  <c r="C243" i="30276"/>
  <c r="C247" i="30276"/>
  <c r="C246" i="30276"/>
  <c r="X254" i="30276"/>
  <c r="X221" i="30276"/>
  <c r="X349" i="30276" s="1"/>
  <c r="X348" i="30276"/>
  <c r="X223" i="30276"/>
  <c r="AA300" i="30276"/>
  <c r="Z243" i="30276"/>
  <c r="Q247" i="30276"/>
  <c r="M265" i="30276"/>
  <c r="M313" i="30276"/>
  <c r="G247" i="30276"/>
  <c r="B243" i="30276"/>
  <c r="M247" i="30276"/>
  <c r="M243" i="30276"/>
  <c r="M246" i="30276"/>
  <c r="M244" i="30276"/>
  <c r="K348" i="30276"/>
  <c r="K254" i="30276"/>
  <c r="K223" i="30276"/>
  <c r="K221" i="30276"/>
  <c r="K349" i="30276" s="1"/>
  <c r="K302" i="30276"/>
  <c r="K300" i="30276"/>
  <c r="S243" i="30276"/>
  <c r="Y247" i="30276"/>
  <c r="Y243" i="30276"/>
  <c r="Y246" i="30276"/>
  <c r="U300" i="30276"/>
  <c r="U302" i="30276"/>
  <c r="U254" i="30276"/>
  <c r="U348" i="30276"/>
  <c r="U221" i="30276"/>
  <c r="U349" i="30276" s="1"/>
  <c r="U223" i="30276"/>
  <c r="D271" i="30276"/>
  <c r="E22" i="30287"/>
  <c r="E23" i="30287" s="1"/>
  <c r="E24" i="30287" s="1"/>
  <c r="N247" i="30276"/>
  <c r="N243" i="30276"/>
  <c r="N246" i="30276"/>
  <c r="AH247" i="30276"/>
  <c r="AH245" i="30276"/>
  <c r="AJ313" i="30276"/>
  <c r="N254" i="30276"/>
  <c r="N223" i="30276"/>
  <c r="N221" i="30276"/>
  <c r="N349" i="30276" s="1"/>
  <c r="N348" i="30276"/>
  <c r="E301" i="30276"/>
  <c r="E295" i="30276"/>
  <c r="E285" i="30276"/>
  <c r="C260" i="30276"/>
  <c r="C314" i="30276"/>
  <c r="C315" i="30276" s="1"/>
  <c r="L254" i="30276"/>
  <c r="L221" i="30276"/>
  <c r="L349" i="30276" s="1"/>
  <c r="L348" i="30276"/>
  <c r="L223" i="30276"/>
  <c r="AH243" i="30276"/>
  <c r="Y300" i="30276"/>
  <c r="Y302" i="30276"/>
  <c r="E221" i="30276"/>
  <c r="E349" i="30276" s="1"/>
  <c r="E348" i="30276"/>
  <c r="E254" i="30276"/>
  <c r="E223" i="30276"/>
  <c r="E243" i="30276"/>
  <c r="E245" i="30276"/>
  <c r="U247" i="30276"/>
  <c r="D246" i="30276"/>
  <c r="D247" i="30276"/>
  <c r="D243" i="30276"/>
  <c r="R246" i="30276"/>
  <c r="R247" i="30276"/>
  <c r="R243" i="30276"/>
  <c r="E300" i="30276"/>
  <c r="E302" i="30276"/>
  <c r="AA265" i="30276"/>
  <c r="L301" i="30276"/>
  <c r="L285" i="30276"/>
  <c r="L295" i="30276"/>
  <c r="L266" i="30276"/>
  <c r="AH314" i="30276"/>
  <c r="AH315" i="30276" s="1"/>
  <c r="AH260" i="30276"/>
  <c r="AA315" i="30276"/>
  <c r="Z246" i="30276"/>
  <c r="N313" i="30276"/>
  <c r="P285" i="30276"/>
  <c r="P295" i="30276"/>
  <c r="P300" i="30276"/>
  <c r="P223" i="30276"/>
  <c r="P221" i="30276"/>
  <c r="P349" i="30276" s="1"/>
  <c r="P260" i="30276"/>
  <c r="P265" i="30276"/>
  <c r="P266" i="30276"/>
  <c r="P246" i="30276"/>
  <c r="P247" i="30276"/>
  <c r="P243" i="30276"/>
  <c r="P311" i="30276"/>
  <c r="P315" i="30276"/>
  <c r="K24" i="30287" l="1"/>
  <c r="N24" i="30287" s="1"/>
  <c r="K27" i="30287"/>
  <c r="N27" i="30287" s="1"/>
  <c r="K26" i="30287"/>
  <c r="N26" i="30287" s="1"/>
  <c r="K28" i="30287"/>
  <c r="N28" i="30287" s="1"/>
  <c r="P350" i="30276"/>
  <c r="AK271" i="30276"/>
  <c r="R350" i="30276"/>
  <c r="D350" i="30276"/>
  <c r="L350" i="30276"/>
  <c r="N350" i="30276"/>
  <c r="X350" i="30276"/>
  <c r="Y350" i="30276"/>
  <c r="E350" i="30276"/>
  <c r="AB350" i="30276"/>
  <c r="C350" i="30276"/>
  <c r="Z350" i="30276"/>
  <c r="U350" i="30276"/>
  <c r="K350" i="30276"/>
  <c r="I266" i="30276" l="1"/>
  <c r="I307" i="30276"/>
  <c r="I269" i="30276"/>
  <c r="I265" i="30276"/>
  <c r="I271" i="30276" l="1"/>
  <c r="C38" i="30287"/>
  <c r="C39" i="30287" s="1"/>
  <c r="C40" i="30287" s="1"/>
  <c r="K25" i="30287" s="1"/>
  <c r="N25" i="30287" s="1"/>
  <c r="K32" i="30287" s="1" a="1"/>
  <c r="K32" i="30287" s="1"/>
  <c r="I311" i="30276"/>
  <c r="I285" i="30276"/>
  <c r="I301" i="30276"/>
  <c r="I295" i="30276"/>
  <c r="I244" i="30276"/>
  <c r="I246" i="30276"/>
  <c r="I247" i="30276"/>
  <c r="I243" i="30276"/>
  <c r="I300" i="30276"/>
  <c r="I302" i="30276"/>
  <c r="I314" i="30276"/>
  <c r="I315" i="30276" s="1"/>
  <c r="I260" i="30276"/>
  <c r="I348" i="30276"/>
  <c r="I221" i="30276"/>
  <c r="I349" i="30276" s="1"/>
  <c r="I223" i="30276"/>
  <c r="I313" i="30276"/>
  <c r="I245" i="30276"/>
  <c r="D23" i="30284" l="1"/>
  <c r="D24" i="30284" s="1"/>
  <c r="H23" i="30284"/>
  <c r="H24" i="30284" s="1"/>
  <c r="I23" i="30284"/>
  <c r="I24" i="30284" s="1"/>
  <c r="C23" i="30284"/>
  <c r="C24" i="30284" s="1"/>
  <c r="E23" i="30284"/>
  <c r="E24" i="30284" s="1"/>
  <c r="F23" i="30284"/>
  <c r="F24" i="30284" s="1"/>
  <c r="G23" i="30284"/>
  <c r="G24" i="30284" s="1"/>
  <c r="BR3" i="30284"/>
  <c r="BV3" i="30284" s="1"/>
  <c r="BR8" i="30284"/>
  <c r="BV8" i="30284" s="1"/>
  <c r="BR6" i="30284"/>
  <c r="BV6" i="30284" s="1"/>
  <c r="BR7" i="30284"/>
  <c r="BV7" i="30284" s="1"/>
  <c r="BR4" i="30284"/>
  <c r="BV4" i="30284" s="1"/>
  <c r="BR5" i="30284"/>
  <c r="BV5" i="30284" s="1"/>
  <c r="I350" i="30276"/>
  <c r="C47" i="30284" l="1"/>
  <c r="C43" i="30284"/>
  <c r="G47" i="30284"/>
  <c r="G43" i="30284"/>
  <c r="I43" i="30284"/>
  <c r="I47" i="30284"/>
  <c r="F47" i="30284"/>
  <c r="F43" i="30284"/>
  <c r="H47" i="30284"/>
  <c r="H43" i="30284"/>
  <c r="E43" i="30284"/>
  <c r="E47" i="30284"/>
  <c r="D43" i="30284"/>
  <c r="D47" i="30284"/>
  <c r="G45" i="30284" l="1"/>
  <c r="G49" i="30284"/>
  <c r="G27" i="30284"/>
  <c r="G28" i="30284" s="1"/>
  <c r="E27" i="30284"/>
  <c r="E45" i="30284"/>
  <c r="E49" i="30284"/>
  <c r="D27" i="30284"/>
  <c r="D45" i="30284"/>
  <c r="D49" i="30284"/>
  <c r="I45" i="30284"/>
  <c r="I27" i="30284"/>
  <c r="I28" i="30284" s="1"/>
  <c r="I30" i="30284" s="1"/>
  <c r="I49" i="30284"/>
  <c r="F49" i="30284"/>
  <c r="F27" i="30284"/>
  <c r="F45" i="30284"/>
  <c r="H27" i="30284"/>
  <c r="H28" i="30284" s="1"/>
  <c r="H49" i="30284"/>
  <c r="H45" i="30284"/>
  <c r="C27" i="30284"/>
  <c r="J27" i="30284" s="1"/>
  <c r="C49" i="30284"/>
  <c r="C45" i="30284"/>
  <c r="E28" i="30284" l="1"/>
  <c r="F28" i="30284"/>
  <c r="F30" i="30284" s="1"/>
  <c r="D28" i="30284"/>
  <c r="D30" i="30284" s="1"/>
  <c r="C28" i="30284"/>
  <c r="H29" i="30284"/>
  <c r="H30" i="30284"/>
  <c r="E29" i="30284"/>
  <c r="E30" i="30284"/>
  <c r="G29" i="30284"/>
  <c r="G30" i="30284"/>
  <c r="I29" i="30284"/>
  <c r="D29" i="30284"/>
  <c r="F29" i="30284"/>
  <c r="C29" i="30284"/>
  <c r="J29" i="30284" l="1"/>
  <c r="C30" i="30284"/>
  <c r="J30" i="30284" s="1"/>
  <c r="J28" i="30284"/>
  <c r="K44" i="30287" l="1" a="1"/>
  <c r="K44" i="30287" s="1"/>
  <c r="K56" i="30287" a="1"/>
  <c r="K56" i="3028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tc={2560A1A9-10B1-4991-8DD8-56A07F571A11}</author>
    <author>tc={ED3970D7-BC0D-4890-8596-F9CCDEAF85A1}</author>
    <author>tc={3E970242-9257-42B9-9025-69F8DFD0EB93}</author>
    <author>tc={85E2C003-F0DD-4946-BCCE-15402E0C136B}</author>
    <author>tc={5528DC87-0D1F-4F1F-BDEB-A54797BFE9F4}</author>
    <author>tc={57EA41D3-E707-439F-ADAA-40CFA77906FD}</author>
    <author>tc={8E1F8F57-012A-42BE-880B-8FAD6C90C9ED}</author>
    <author>tc={5E4CB7C9-008B-4848-A949-70AF90B89235}</author>
    <author>tc={F32932D9-817E-49E2-A11C-EBA0238C7577}</author>
    <author>tc={D83EB5DA-C2C6-4DD3-BD35-854B28672A65}</author>
    <author>tc={93C60B68-E334-49FC-9FDD-C9D776811322}</author>
    <author>tc={9E5873CD-EF1B-40DA-8701-010348F03D15}</author>
    <author>tc={105F4F04-E468-447B-91C1-E51204A20F47}</author>
    <author>tc={5C38DE7E-E6F8-4784-9CE4-0D2B8A32D23A}</author>
    <author>tc={15007171-D675-40C8-9529-FE65BC01C49B}</author>
    <author>tc={222BBE94-B749-4163-A1CC-15E46828D395}</author>
    <author>tc={DF043F51-667C-4D03-B5CC-0EA622576EC4}</author>
    <author>tc={80FEE979-58A7-4F51-B037-EFA84B78296F}</author>
    <author>tc={6B84ACC0-8068-48F7-9BC5-34D57910797A}</author>
    <author>tc={FA923CE8-B2BC-47EA-9D59-7DCC9C8AD7D2}</author>
    <author>tc={B5115C7E-D796-4E42-9F1A-072AF36FF306}</author>
    <author>tc={7AE5A642-66C6-4AC4-8001-81B7BA0345FC}</author>
    <author>tc={E3AAF264-9E5E-4424-85AB-8A647C3F92D0}</author>
    <author>tc={CDFAEC21-8CB7-4F81-9132-05E35CDAABB1}</author>
    <author>tc={1BBEC8B7-D254-4F9E-BF32-07A92FB4F011}</author>
    <author>tc={F9AE1A51-C221-4CFE-B3B3-3D9A29802E58}</author>
    <author>tc={6DD53539-4490-40E5-99DB-1DEBF7799E6D}</author>
    <author>tc={B58EBF93-767A-43C9-AF0B-E06A1DE43FFD}</author>
    <author>tc={AB9D7AF0-E1DB-443C-B2FA-19B025287EB8}</author>
    <author>tc={3BA8EADA-15D6-41FF-99FA-8AA18EAA7320}</author>
    <author>tc={742A9C95-FDF4-4885-A22A-E2A48F17BC97}</author>
    <author>tc={94BE9CBD-E66D-453B-8A87-33273DAFBF96}</author>
    <author>tc={FAE59F4B-4065-4D26-8E67-ECEE2AF47962}</author>
    <author>tc={71E73E0E-EFD5-4AE0-ADE1-FD6FF673DDDE}</author>
    <author>mike</author>
    <author>tc={8EE142F7-C4E7-4500-9CFF-DF56D6231F32}</author>
    <author>tc={0CB5CEE5-6963-46AA-B6CE-C3A5C5B8AE76}</author>
    <author>tc={33CEB0A8-BE8C-4B15-A7C0-A4234CAF708C}</author>
    <author>tc={66406BAE-1BD0-4097-818C-C3DBDB615825}</author>
    <author>tc={1F3899FC-2DDB-411D-B37A-CB383BB9B1F6}</author>
    <author>tc={C2C1E177-81C3-4E6B-A2E9-0BF958137775}</author>
    <author>tc={F1724A6E-ED63-44AD-ACEC-24F0A54264B6}</author>
    <author>tc={B123477F-CE85-44DB-86D0-97E295ADA32C}</author>
    <author>tc={41693A69-6A68-4A6F-8DE7-C525E73A85A6}</author>
    <author>tc={893D4AE5-BB55-4EDA-9062-DD6172AE3243}</author>
    <author>tc={A691FF1B-B769-493D-8959-BCA02A665384}</author>
    <author>tc={8AFB1428-276A-4C6B-8A38-13877D66C932}</author>
    <author>tc={4F8377FA-B80E-4580-9786-96B46A4DA1AB}</author>
    <author>tc={F68ED72D-E101-4950-96D7-81B50641251D}</author>
    <author>tc={69D8B2CA-23EC-42B8-A47B-0E9C3D7520F5}</author>
    <author>tc={CD6580AA-CEB0-411D-8983-621CEB1FEBDA}</author>
    <author>tc={AF4B4C8A-399C-4EAE-897F-8B2E0D59D5FE}</author>
    <author>tc={819AAB10-B9E0-494D-A1E8-0DAB9DACFAD4}</author>
    <author>tc={C813BE3B-8E5E-4958-B035-979125CBAB3C}</author>
    <author>tc={ADB7444F-A0AA-4E43-BE00-F9764B9FF9EC}</author>
    <author>tc={31C64AD3-8337-418F-82EE-FCD4E7DE3DE1}</author>
    <author>tc={954AC317-6E02-4F70-9137-051D08A53BD7}</author>
    <author>tc={DA033630-0FFC-46B7-BF57-DE21BA2DF220}</author>
    <author>tc={365BAB8D-ECF0-4F40-ADD5-F561976F30DE}</author>
    <author>tc={C7DE922A-3F7D-4BF3-8DEE-218FCBD7EB28}</author>
    <author>tc={70D3D3F9-BC9B-483D-AF1E-54582FE81075}</author>
    <author>tc={7C415DF8-E161-48B3-B50D-7EA9C3A9652C}</author>
    <author>tc={A398681D-8424-4F3D-8E93-D9BB28167AA5}</author>
    <author>tc={49F9AFB4-8D0A-4A16-9627-A61360991D4E}</author>
    <author>tc={42FA82E3-E3BD-4EE4-8D41-576D17F2950A}</author>
    <author>tc={0D16897F-F79D-4FD6-96F1-FA31F0D1835E}</author>
    <author>tc={0258BDD7-D2CC-49C9-B874-93D94F5C2037}</author>
    <author>tc={64D4862C-C39D-4BDB-9817-CFF0F770CD65}</author>
    <author>tc={BDD303DB-F2EC-4676-AA49-3033CE3BA616}</author>
    <author>tc={C0EBEF1B-9C7E-45F1-8F18-CB6ED4C0C7A0}</author>
    <author>tc={5A6EE565-5953-4077-BCCB-637FD4FA5CF1}</author>
    <author>tc={44DB574F-1F73-488C-8AB7-D45558CDA236}</author>
    <author>tc={52377392-C17E-44C5-B7A4-8FA63E1DF5BF}</author>
    <author>tc={648EAD8A-DF16-45BF-AC37-938BF2A0AE98}</author>
    <author>tc={F33BA5FD-61B4-4A54-96F9-C385354A4412}</author>
    <author>mtokach</author>
    <author>tc={0F1ACE29-C69A-4548-B0BC-928960428029}</author>
    <author>tc={3AD5EACF-51AD-4589-BC3D-E10230A66ABA}</author>
    <author>tc={D736E91C-4C82-40B8-A7AE-80BCB1A9DC63}</author>
    <author>tc={6D434380-34AE-461A-A73C-2CCDCCE18BC6}</author>
    <author>tc={41DCDF53-EB83-4EA0-A038-B76D9EC03245}</author>
    <author>catsadm</author>
    <author>tc={336AD977-5E37-4D8B-82DC-399D09118882}</author>
    <author>tc={60CA5772-0ED2-4DE2-BEC2-E7123A37A362}</author>
    <author>tc={EBC8133C-7292-488D-8113-AE09DA2CF740}</author>
    <author>tc={DAA99A8C-B5F9-48C9-8272-53BB114A00C1}</author>
    <author>tc={EFDDCBF3-F838-4017-9BDD-53917610A875}</author>
    <author>tc={C7B4EC4A-1639-4061-A1DC-4BF507C9FA65}</author>
    <author>tc={B8820E34-4611-40DB-BDD6-6B57EDE139FA}</author>
    <author>tc={DD98B53A-A500-42E5-A5CD-E632E8A888FC}</author>
    <author>tc={AF8E2732-F3CC-4F76-9864-8B42424B771C}</author>
    <author>tc={59B421BB-AE53-4DE8-AAAF-CD55B8E3DED5}</author>
    <author>tc={457B45DD-D0F6-41FD-BC0F-358779E35427}</author>
  </authors>
  <commentList>
    <comment ref="EG7" authorId="0" shapeId="0" xr:uid="{00000000-0006-0000-01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using Stein's lab values</t>
      </text>
    </comment>
    <comment ref="EG10" authorId="1" shapeId="0" xr:uid="{00000000-0006-0000-01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CVB 2016</t>
      </text>
    </comment>
    <comment ref="EG11" authorId="2" shapeId="0" xr:uid="{00000000-0006-0000-0100-00000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12" authorId="3" shapeId="0" xr:uid="{00000000-0006-0000-0100-000004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13" authorId="4" shapeId="0" xr:uid="{00000000-0006-0000-0100-000005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EG14" authorId="5" shapeId="0" xr:uid="{00000000-0006-0000-0100-000006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EG17" authorId="6" shapeId="0" xr:uid="{00000000-0006-0000-0100-000007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EG18" authorId="7" shapeId="0" xr:uid="{00000000-0006-0000-0100-000008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EG19" authorId="8" shapeId="0" xr:uid="{00000000-0006-0000-0100-000009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20" authorId="9" shapeId="0" xr:uid="{00000000-0006-0000-0100-00000A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21" authorId="10" shapeId="0" xr:uid="{00000000-0006-0000-0100-00000B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EG22" authorId="11" shapeId="0" xr:uid="{00000000-0006-0000-0100-00000C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EG23" authorId="12" shapeId="0" xr:uid="{00000000-0006-0000-0100-00000D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24" authorId="13" shapeId="0" xr:uid="{00000000-0006-0000-0100-00000E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25" authorId="14" shapeId="0" xr:uid="{00000000-0006-0000-0100-00000F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EG26" authorId="15" shapeId="0" xr:uid="{00000000-0006-0000-0100-00001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CVB 2016</t>
      </text>
    </comment>
    <comment ref="EG27" authorId="16" shapeId="0" xr:uid="{00000000-0006-0000-0100-00001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28" authorId="17" shapeId="0" xr:uid="{00000000-0006-0000-0100-00001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29" authorId="18" shapeId="0" xr:uid="{00000000-0006-0000-0100-00001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30" authorId="19" shapeId="0" xr:uid="{00000000-0006-0000-0100-000014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31" authorId="20" shapeId="0" xr:uid="{00000000-0006-0000-0100-000015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32" authorId="21" shapeId="0" xr:uid="{00000000-0006-0000-0100-000016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33" authorId="22" shapeId="0" xr:uid="{00000000-0006-0000-0100-000017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34" authorId="23" shapeId="0" xr:uid="{00000000-0006-0000-0100-000018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35" authorId="24" shapeId="0" xr:uid="{00000000-0006-0000-0100-000019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36" authorId="25" shapeId="0" xr:uid="{00000000-0006-0000-0100-00001A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37" authorId="26" shapeId="0" xr:uid="{00000000-0006-0000-0100-00001B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CVB 2016</t>
      </text>
    </comment>
    <comment ref="EG38" authorId="27" shapeId="0" xr:uid="{00000000-0006-0000-0100-00001C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41" authorId="28" shapeId="0" xr:uid="{00000000-0006-0000-0100-00001D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Calculated using the ratio of Phytate:Total P reported by IRTA (0.707) but using the total phosphorus from NRC 2012</t>
      </text>
    </comment>
    <comment ref="EG42" authorId="29" shapeId="0" xr:uid="{00000000-0006-0000-0100-00001E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Calculated using the ratio of Phytate:Total P reported by IRTA (0.647) but using the total phosphorus from NRC 2012</t>
      </text>
    </comment>
    <comment ref="EG43" authorId="30" shapeId="0" xr:uid="{00000000-0006-0000-0100-00001F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EG52" authorId="31" shapeId="0" xr:uid="{00000000-0006-0000-0100-00002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CVB 2016</t>
      </text>
    </comment>
    <comment ref="EG53" authorId="32" shapeId="0" xr:uid="{00000000-0006-0000-0100-00002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CVB 2016</t>
      </text>
    </comment>
    <comment ref="EG54" authorId="33" shapeId="0" xr:uid="{00000000-0006-0000-0100-00002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AK55" authorId="34" shapeId="0" xr:uid="{00000000-0006-0000-0100-000023000000}">
      <text>
        <r>
          <rPr>
            <b/>
            <sz val="9"/>
            <color indexed="81"/>
            <rFont val="Tahoma"/>
            <family val="2"/>
          </rPr>
          <t>mike:</t>
        </r>
        <r>
          <rPr>
            <sz val="9"/>
            <color indexed="81"/>
            <rFont val="Tahoma"/>
            <family val="2"/>
          </rPr>
          <t xml:space="preserve">
Lysine must be wrong in NRC table at 0.68</t>
        </r>
      </text>
    </comment>
    <comment ref="EG55" authorId="35" shapeId="0" xr:uid="{00000000-0006-0000-0100-000024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56" authorId="36" shapeId="0" xr:uid="{00000000-0006-0000-0100-000025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Calculated by using Phytate:Total P content of Oats (0.543)</t>
      </text>
    </comment>
    <comment ref="EG57" authorId="37" shapeId="0" xr:uid="{00000000-0006-0000-0100-000026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FEDNA 2019</t>
      </text>
    </comment>
    <comment ref="EG58" authorId="38" shapeId="0" xr:uid="{00000000-0006-0000-0100-000027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Brazilian tables 2017</t>
      </text>
    </comment>
    <comment ref="EG59" authorId="39" shapeId="0" xr:uid="{00000000-0006-0000-0100-000028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Calculated by using Phytate:Total P content of Peanut Meal, Expelled. (0.666)</t>
      </text>
    </comment>
    <comment ref="EG60" authorId="40" shapeId="0" xr:uid="{00000000-0006-0000-0100-000029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BX61" authorId="41" shapeId="0" xr:uid="{00000000-0006-0000-0100-00002A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Source: INRA</t>
      </text>
    </comment>
    <comment ref="EG61" authorId="42" shapeId="0" xr:uid="{00000000-0006-0000-0100-00002B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Calculated by using Phytate:Total P content of field peas (0.405)</t>
      </text>
    </comment>
    <comment ref="BX62" authorId="43" shapeId="0" xr:uid="{00000000-0006-0000-0100-00002C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Source: INRA</t>
      </text>
    </comment>
    <comment ref="EG62" authorId="44" shapeId="0" xr:uid="{00000000-0006-0000-0100-00002D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Soruce: INRA</t>
      </text>
    </comment>
    <comment ref="EG64" authorId="45" shapeId="0" xr:uid="{00000000-0006-0000-0100-00002E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EG65" authorId="46" shapeId="0" xr:uid="{00000000-0006-0000-0100-00002F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66" authorId="47" shapeId="0" xr:uid="{00000000-0006-0000-0100-00003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67" authorId="48" shapeId="0" xr:uid="{00000000-0006-0000-0100-00003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68" authorId="49" shapeId="0" xr:uid="{00000000-0006-0000-0100-00003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EG69" authorId="50" shapeId="0" xr:uid="{00000000-0006-0000-0100-00003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EG70" authorId="51" shapeId="0" xr:uid="{00000000-0006-0000-0100-000034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71" authorId="52" shapeId="0" xr:uid="{00000000-0006-0000-0100-000035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EG72" authorId="53" shapeId="0" xr:uid="{00000000-0006-0000-0100-000036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Calculated by using Phytate:Total P content of SBM Dehull Sol. Ext. (0.662)</t>
      </text>
    </comment>
    <comment ref="EG73" authorId="54" shapeId="0" xr:uid="{00000000-0006-0000-0100-000037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Calculated by using Phytate:Total P content of SBM Dehull Sol. Ext. (0.662)</t>
      </text>
    </comment>
    <comment ref="EG74" authorId="55" shapeId="0" xr:uid="{00000000-0006-0000-0100-000038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Calculated by using Phytate:Total P content of SBM Dehull Sol. Ext. (0.662)</t>
      </text>
    </comment>
    <comment ref="EG75" authorId="56" shapeId="0" xr:uid="{00000000-0006-0000-0100-000039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Calculated by using Phytate:Total P content of SBM Dehull Sol. Ext. (0.662)</t>
      </text>
    </comment>
    <comment ref="EG76" authorId="57" shapeId="0" xr:uid="{00000000-0006-0000-0100-00003A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CVB 2016</t>
      </text>
    </comment>
    <comment ref="EG77" authorId="58" shapeId="0" xr:uid="{00000000-0006-0000-0100-00003B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EG78" authorId="59" shapeId="0" xr:uid="{00000000-0006-0000-0100-00003C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</t>
      </text>
    </comment>
    <comment ref="EG79" authorId="60" shapeId="0" xr:uid="{00000000-0006-0000-0100-00003D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80" authorId="61" shapeId="0" xr:uid="{00000000-0006-0000-0100-00003E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81" authorId="62" shapeId="0" xr:uid="{00000000-0006-0000-0100-00003F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Calculated by using Phytate:Total P content of SBM Dehull Sol. Ext. (0.662)</t>
      </text>
    </comment>
    <comment ref="EG82" authorId="63" shapeId="0" xr:uid="{00000000-0006-0000-0100-00004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83" authorId="64" shapeId="0" xr:uid="{00000000-0006-0000-0100-00004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EG84" authorId="65" shapeId="0" xr:uid="{00000000-0006-0000-0100-00004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85" authorId="66" shapeId="0" xr:uid="{00000000-0006-0000-0100-00004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Calculated by using Phytate:Total P content of SBM Dehull Sol. Ext. (0.662)</t>
      </text>
    </comment>
    <comment ref="EG86" authorId="67" shapeId="0" xr:uid="{00000000-0006-0000-0100-000044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87" authorId="68" shapeId="0" xr:uid="{00000000-0006-0000-0100-000045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88" authorId="69" shapeId="0" xr:uid="{00000000-0006-0000-0100-000046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EG89" authorId="70" shapeId="0" xr:uid="{00000000-0006-0000-0100-000047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EG90" authorId="71" shapeId="0" xr:uid="{00000000-0006-0000-0100-000048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91" authorId="72" shapeId="0" xr:uid="{00000000-0006-0000-0100-000049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92" authorId="73" shapeId="0" xr:uid="{00000000-0006-0000-0100-00004A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93" authorId="74" shapeId="0" xr:uid="{00000000-0006-0000-0100-00004B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B94" authorId="75" shapeId="0" xr:uid="{00000000-0006-0000-0100-00004C000000}">
      <text>
        <r>
          <rPr>
            <b/>
            <sz val="9"/>
            <color indexed="81"/>
            <rFont val="Tahoma"/>
            <family val="2"/>
          </rPr>
          <t>mtokach:</t>
        </r>
        <r>
          <rPr>
            <sz val="9"/>
            <color indexed="81"/>
            <rFont val="Tahoma"/>
            <family val="2"/>
          </rPr>
          <t xml:space="preserve">
Hans data says that the SID lys digestibility is only 46%.</t>
        </r>
      </text>
    </comment>
    <comment ref="EG94" authorId="76" shapeId="0" xr:uid="{00000000-0006-0000-0100-00004D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EG95" authorId="77" shapeId="0" xr:uid="{00000000-0006-0000-0100-00004E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Brazilian tables</t>
      </text>
    </comment>
    <comment ref="EG96" authorId="78" shapeId="0" xr:uid="{00000000-0006-0000-0100-00004F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EG97" authorId="79" shapeId="0" xr:uid="{00000000-0006-0000-0100-00005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98" authorId="80" shapeId="0" xr:uid="{00000000-0006-0000-0100-00005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Calculated by using Phytate:Total P content of Brewer's yeast. (0.207)</t>
      </text>
    </comment>
    <comment ref="BS115" authorId="75" shapeId="0" xr:uid="{00000000-0006-0000-0100-000052000000}">
      <text>
        <r>
          <rPr>
            <b/>
            <sz val="9"/>
            <color indexed="81"/>
            <rFont val="Tahoma"/>
            <family val="2"/>
          </rPr>
          <t>mtokach:</t>
        </r>
        <r>
          <rPr>
            <sz val="9"/>
            <color indexed="81"/>
            <rFont val="Tahoma"/>
            <family val="2"/>
          </rPr>
          <t xml:space="preserve">
NRC lists as 16.9%, but most products in Midwest USA are 18 to 18.5%.</t>
        </r>
      </text>
    </comment>
    <comment ref="D169" authorId="81" shapeId="0" xr:uid="{00000000-0006-0000-0100-000053000000}">
      <text>
        <r>
          <rPr>
            <b/>
            <sz val="8"/>
            <color indexed="81"/>
            <rFont val="Tahoma"/>
            <family val="2"/>
          </rPr>
          <t>catsadm:</t>
        </r>
        <r>
          <rPr>
            <sz val="8"/>
            <color indexed="81"/>
            <rFont val="Tahoma"/>
            <family val="2"/>
          </rPr>
          <t xml:space="preserve">
Based on equation from Graham et al. 2014</t>
        </r>
      </text>
    </comment>
    <comment ref="E169" authorId="81" shapeId="0" xr:uid="{00000000-0006-0000-0100-000054000000}">
      <text>
        <r>
          <rPr>
            <b/>
            <sz val="8"/>
            <color indexed="81"/>
            <rFont val="Tahoma"/>
            <family val="2"/>
          </rPr>
          <t>catsadm:</t>
        </r>
        <r>
          <rPr>
            <sz val="8"/>
            <color indexed="81"/>
            <rFont val="Tahoma"/>
            <family val="2"/>
          </rPr>
          <t xml:space="preserve">
Equation 1-6 from NRC 2012</t>
        </r>
      </text>
    </comment>
    <comment ref="F169" authorId="81" shapeId="0" xr:uid="{00000000-0006-0000-0100-000055000000}">
      <text>
        <r>
          <rPr>
            <b/>
            <sz val="8"/>
            <color indexed="81"/>
            <rFont val="Tahoma"/>
            <family val="2"/>
          </rPr>
          <t>catsadm:</t>
        </r>
        <r>
          <rPr>
            <sz val="8"/>
            <color indexed="81"/>
            <rFont val="Tahoma"/>
            <family val="2"/>
          </rPr>
          <t xml:space="preserve">
Based on equation from Graham et al., 2014</t>
        </r>
      </text>
    </comment>
    <comment ref="D170" authorId="81" shapeId="0" xr:uid="{00000000-0006-0000-0100-000056000000}">
      <text>
        <r>
          <rPr>
            <b/>
            <sz val="8"/>
            <color indexed="81"/>
            <rFont val="Tahoma"/>
            <family val="2"/>
          </rPr>
          <t>catsadm:</t>
        </r>
        <r>
          <rPr>
            <sz val="8"/>
            <color indexed="81"/>
            <rFont val="Tahoma"/>
            <family val="2"/>
          </rPr>
          <t xml:space="preserve">
Based on equation from Graham et al. 2014</t>
        </r>
      </text>
    </comment>
    <comment ref="E170" authorId="81" shapeId="0" xr:uid="{00000000-0006-0000-0100-000057000000}">
      <text>
        <r>
          <rPr>
            <b/>
            <sz val="8"/>
            <color indexed="81"/>
            <rFont val="Tahoma"/>
            <family val="2"/>
          </rPr>
          <t>catsadm:</t>
        </r>
        <r>
          <rPr>
            <sz val="8"/>
            <color indexed="81"/>
            <rFont val="Tahoma"/>
            <family val="2"/>
          </rPr>
          <t xml:space="preserve">
Equation 1-6 from NRC 2012</t>
        </r>
      </text>
    </comment>
    <comment ref="F170" authorId="81" shapeId="0" xr:uid="{00000000-0006-0000-0100-000058000000}">
      <text>
        <r>
          <rPr>
            <b/>
            <sz val="8"/>
            <color indexed="81"/>
            <rFont val="Tahoma"/>
            <family val="2"/>
          </rPr>
          <t>catsadm:</t>
        </r>
        <r>
          <rPr>
            <sz val="8"/>
            <color indexed="81"/>
            <rFont val="Tahoma"/>
            <family val="2"/>
          </rPr>
          <t xml:space="preserve">
Based on equation from Graham et al., 2014</t>
        </r>
      </text>
    </comment>
    <comment ref="I170" authorId="81" shapeId="0" xr:uid="{00000000-0006-0000-0100-000059000000}">
      <text>
        <r>
          <rPr>
            <b/>
            <sz val="8"/>
            <color indexed="81"/>
            <rFont val="Tahoma"/>
            <family val="2"/>
          </rPr>
          <t>catsadm
Adjusted for difference in fat content from 10.5% For example if fat content is 7.5 the concentration of this nutrient was increased by dividing by .97.</t>
        </r>
      </text>
    </comment>
    <comment ref="J170" authorId="81" shapeId="0" xr:uid="{00000000-0006-0000-0100-00005A000000}">
      <text>
        <r>
          <rPr>
            <b/>
            <sz val="8"/>
            <color indexed="81"/>
            <rFont val="Tahoma"/>
            <family val="2"/>
          </rPr>
          <t>catsadm
Adjusted for difference in fat content from 10.5% For example if fat content is 7.5 the concentration of this nutrient was increased by dividing by .97.</t>
        </r>
      </text>
    </comment>
    <comment ref="K170" authorId="81" shapeId="0" xr:uid="{00000000-0006-0000-0100-00005B000000}">
      <text>
        <r>
          <rPr>
            <b/>
            <sz val="8"/>
            <color indexed="81"/>
            <rFont val="Tahoma"/>
            <family val="2"/>
          </rPr>
          <t>catsadm
Adjusted for difference in fat content from 10.5% For example if fat content is 7.5 the concentration of this nutrient was increased by dividing by .97.</t>
        </r>
      </text>
    </comment>
    <comment ref="M170" authorId="81" shapeId="0" xr:uid="{00000000-0006-0000-0100-00005C000000}">
      <text>
        <r>
          <rPr>
            <b/>
            <sz val="8"/>
            <color indexed="81"/>
            <rFont val="Tahoma"/>
            <family val="2"/>
          </rPr>
          <t>catsadm
Adjusted for difference in fat content from 10.5% For example if fat content is 7.5 the concentration of this nutrient was increased by dividing by .97.</t>
        </r>
      </text>
    </comment>
    <comment ref="T170" authorId="81" shapeId="0" xr:uid="{00000000-0006-0000-0100-00005D000000}">
      <text>
        <r>
          <rPr>
            <b/>
            <sz val="8"/>
            <color indexed="81"/>
            <rFont val="Tahoma"/>
            <family val="2"/>
          </rPr>
          <t>catsadm
Adjusted for difference in fat content from 10.5% For example if fat content is 7.5 the concentration of this nutrient was increased by dividing by .97.</t>
        </r>
      </text>
    </comment>
    <comment ref="U170" authorId="81" shapeId="0" xr:uid="{00000000-0006-0000-0100-00005E000000}">
      <text>
        <r>
          <rPr>
            <b/>
            <sz val="8"/>
            <color indexed="81"/>
            <rFont val="Tahoma"/>
            <family val="2"/>
          </rPr>
          <t>catsadm
Adjusted for difference in fat content from 10.5% For example if fat content is 7.5 the concentration of this nutrient was increased by dividing by .97.</t>
        </r>
      </text>
    </comment>
    <comment ref="V170" authorId="81" shapeId="0" xr:uid="{00000000-0006-0000-0100-00005F000000}">
      <text>
        <r>
          <rPr>
            <b/>
            <sz val="8"/>
            <color indexed="81"/>
            <rFont val="Tahoma"/>
            <family val="2"/>
          </rPr>
          <t>catsadm
Adjusted for difference in fat content from 10.5% For example if fat content is 7.5 the concentration of this nutrient was increased by dividing by .97.</t>
        </r>
      </text>
    </comment>
    <comment ref="W170" authorId="81" shapeId="0" xr:uid="{00000000-0006-0000-0100-000060000000}">
      <text>
        <r>
          <rPr>
            <b/>
            <sz val="8"/>
            <color indexed="81"/>
            <rFont val="Tahoma"/>
            <family val="2"/>
          </rPr>
          <t>catsadm
Adjusted for difference in fat content from 10.5% For example if fat content is 7.5 the concentration of this nutrient was increased by dividing by .97.</t>
        </r>
      </text>
    </comment>
    <comment ref="X170" authorId="81" shapeId="0" xr:uid="{00000000-0006-0000-0100-000061000000}">
      <text>
        <r>
          <rPr>
            <b/>
            <sz val="8"/>
            <color indexed="81"/>
            <rFont val="Tahoma"/>
            <family val="2"/>
          </rPr>
          <t>catsadm
Adjusted for difference in fat content from 10.5% For example if fat content is 7.5 the concentration of this nutrient was increased by dividing by .97.</t>
        </r>
      </text>
    </comment>
    <comment ref="D171" authorId="81" shapeId="0" xr:uid="{00000000-0006-0000-0100-000062000000}">
      <text>
        <r>
          <rPr>
            <b/>
            <sz val="8"/>
            <color indexed="81"/>
            <rFont val="Tahoma"/>
            <family val="2"/>
          </rPr>
          <t>catsadm:</t>
        </r>
        <r>
          <rPr>
            <sz val="8"/>
            <color indexed="81"/>
            <rFont val="Tahoma"/>
            <family val="2"/>
          </rPr>
          <t xml:space="preserve">
Based on equation from Graham et al. 2014</t>
        </r>
      </text>
    </comment>
    <comment ref="E171" authorId="81" shapeId="0" xr:uid="{00000000-0006-0000-0100-000063000000}">
      <text>
        <r>
          <rPr>
            <b/>
            <sz val="8"/>
            <color indexed="81"/>
            <rFont val="Tahoma"/>
            <family val="2"/>
          </rPr>
          <t>catsadm:</t>
        </r>
        <r>
          <rPr>
            <sz val="8"/>
            <color indexed="81"/>
            <rFont val="Tahoma"/>
            <family val="2"/>
          </rPr>
          <t xml:space="preserve">
Equation 1-6 from NRC 2012</t>
        </r>
      </text>
    </comment>
    <comment ref="F171" authorId="81" shapeId="0" xr:uid="{00000000-0006-0000-0100-000064000000}">
      <text>
        <r>
          <rPr>
            <b/>
            <sz val="8"/>
            <color indexed="81"/>
            <rFont val="Tahoma"/>
            <family val="2"/>
          </rPr>
          <t>catsadm:</t>
        </r>
        <r>
          <rPr>
            <sz val="8"/>
            <color indexed="81"/>
            <rFont val="Tahoma"/>
            <family val="2"/>
          </rPr>
          <t xml:space="preserve">
Based on equation from Graham et al., 2014</t>
        </r>
      </text>
    </comment>
    <comment ref="I171" authorId="81" shapeId="0" xr:uid="{00000000-0006-0000-0100-000065000000}">
      <text>
        <r>
          <rPr>
            <b/>
            <sz val="8"/>
            <color indexed="81"/>
            <rFont val="Tahoma"/>
            <family val="2"/>
          </rPr>
          <t>catsadm
Adjusted for difference in fat content from 10.5% For example if fat content is 7.5 the concentration of this nutrient was increased by dividing by .97.</t>
        </r>
      </text>
    </comment>
    <comment ref="J171" authorId="81" shapeId="0" xr:uid="{00000000-0006-0000-0100-000066000000}">
      <text>
        <r>
          <rPr>
            <b/>
            <sz val="8"/>
            <color indexed="81"/>
            <rFont val="Tahoma"/>
            <family val="2"/>
          </rPr>
          <t>catsadm
Adjusted for difference in fat content from 10.5% For example if fat content is 7.5 the concentration of this nutrient was increased by dividing by .97.</t>
        </r>
      </text>
    </comment>
    <comment ref="K171" authorId="81" shapeId="0" xr:uid="{00000000-0006-0000-0100-000067000000}">
      <text>
        <r>
          <rPr>
            <b/>
            <sz val="8"/>
            <color indexed="81"/>
            <rFont val="Tahoma"/>
            <family val="2"/>
          </rPr>
          <t>catsadm
Adjusted for difference in fat content from 10.5% For example if fat content is 7.5 the concentration of this nutrient was increased by dividing by .97.</t>
        </r>
      </text>
    </comment>
    <comment ref="M171" authorId="81" shapeId="0" xr:uid="{00000000-0006-0000-0100-000068000000}">
      <text>
        <r>
          <rPr>
            <b/>
            <sz val="8"/>
            <color indexed="81"/>
            <rFont val="Tahoma"/>
            <family val="2"/>
          </rPr>
          <t>catsadm
Adjusted for difference in fat content from 10.5% For example if fat content is 7.5 the concentration of this nutrient was increased by dividing by .97.</t>
        </r>
      </text>
    </comment>
    <comment ref="T171" authorId="81" shapeId="0" xr:uid="{00000000-0006-0000-0100-000069000000}">
      <text>
        <r>
          <rPr>
            <b/>
            <sz val="8"/>
            <color indexed="81"/>
            <rFont val="Tahoma"/>
            <family val="2"/>
          </rPr>
          <t>catsadm
Adjusted for difference in fat content from 10.5% For example if fat content is 7.5 the concentration of this nutrient was increased by dividing by .97.</t>
        </r>
      </text>
    </comment>
    <comment ref="U171" authorId="81" shapeId="0" xr:uid="{00000000-0006-0000-0100-00006A000000}">
      <text>
        <r>
          <rPr>
            <b/>
            <sz val="8"/>
            <color indexed="81"/>
            <rFont val="Tahoma"/>
            <family val="2"/>
          </rPr>
          <t>catsadm
Adjusted for difference in fat content from 10.5% For example if fat content is 7.5 the concentration of this nutrient was increased by dividing by .97.</t>
        </r>
      </text>
    </comment>
    <comment ref="V171" authorId="81" shapeId="0" xr:uid="{00000000-0006-0000-0100-00006B000000}">
      <text>
        <r>
          <rPr>
            <b/>
            <sz val="8"/>
            <color indexed="81"/>
            <rFont val="Tahoma"/>
            <family val="2"/>
          </rPr>
          <t>catsadm
Adjusted for difference in fat content from 10.5% For example if fat content is 7.5 the concentration of this nutrient was increased by dividing by .97.</t>
        </r>
      </text>
    </comment>
    <comment ref="W171" authorId="81" shapeId="0" xr:uid="{00000000-0006-0000-0100-00006C000000}">
      <text>
        <r>
          <rPr>
            <b/>
            <sz val="8"/>
            <color indexed="81"/>
            <rFont val="Tahoma"/>
            <family val="2"/>
          </rPr>
          <t>catsadm
Adjusted for difference in fat content from 10.5% For example if fat content is 7.5 the concentration of this nutrient was increased by dividing by .97.</t>
        </r>
      </text>
    </comment>
    <comment ref="X171" authorId="81" shapeId="0" xr:uid="{00000000-0006-0000-0100-00006D000000}">
      <text>
        <r>
          <rPr>
            <b/>
            <sz val="8"/>
            <color indexed="81"/>
            <rFont val="Tahoma"/>
            <family val="2"/>
          </rPr>
          <t>catsadm
Adjusted for difference in fat content from 10.5% For example if fat content is 7.5 the concentration of this nutrient was increased by dividing by .97.</t>
        </r>
      </text>
    </comment>
    <comment ref="B173" authorId="82" shapeId="0" xr:uid="{00000000-0006-0000-0100-00006E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Data was provided by Hamlet</t>
      </text>
    </comment>
    <comment ref="E173" authorId="83" shapeId="0" xr:uid="{00000000-0006-0000-0100-00006F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equation</t>
      </text>
    </comment>
    <comment ref="F173" authorId="84" shapeId="0" xr:uid="{00000000-0006-0000-0100-00007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equation</t>
      </text>
    </comment>
    <comment ref="B179" authorId="85" shapeId="0" xr:uid="{00000000-0006-0000-0100-00007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Hubbard has the same values loaded.</t>
      </text>
    </comment>
    <comment ref="B181" authorId="86" shapeId="0" xr:uid="{00000000-0006-0000-0100-00007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SID AA are entered by hand in the ingredient from NFP.</t>
      </text>
    </comment>
    <comment ref="B185" authorId="87" shapeId="0" xr:uid="{00000000-0006-0000-0100-00007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Avail P, % was entered by hand by NFP</t>
      </text>
    </comment>
    <comment ref="B189" authorId="88" shapeId="0" xr:uid="{00000000-0006-0000-0100-000074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 values were reported</t>
      </text>
    </comment>
    <comment ref="B190" authorId="89" shapeId="0" xr:uid="{00000000-0006-0000-0100-000075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Ethan used in his trial new values provided by NFP. Should we update those here?</t>
      </text>
    </comment>
    <comment ref="B191" authorId="90" shapeId="0" xr:uid="{00000000-0006-0000-0100-000076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 values were reported</t>
      </text>
    </comment>
    <comment ref="B207" authorId="91" shapeId="0" xr:uid="{00000000-0006-0000-0100-000077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AA and Digst. will match once the MEPRO be updated.</t>
      </text>
    </comment>
    <comment ref="B209" authorId="92" shapeId="0" xr:uid="{00000000-0006-0000-0100-000078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It also contains 11,340 mcg of 25-Hydroxyvitamin D3 and 206mg/lb of Thiamine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<sst xmlns="http://schemas.openxmlformats.org/spreadsheetml/2006/main" count="746" uniqueCount="577">
  <si>
    <t>Milo</t>
  </si>
  <si>
    <t>Corn</t>
  </si>
  <si>
    <t>Barley</t>
  </si>
  <si>
    <t>Lactose</t>
  </si>
  <si>
    <t>Lysine</t>
  </si>
  <si>
    <t>Isoleucine</t>
  </si>
  <si>
    <t>Leucine</t>
  </si>
  <si>
    <t>Methionine</t>
  </si>
  <si>
    <t>Threonine</t>
  </si>
  <si>
    <t>Tryptophan</t>
  </si>
  <si>
    <t>Valine</t>
  </si>
  <si>
    <t>ME, kcal/kg</t>
  </si>
  <si>
    <t>Protein, %</t>
  </si>
  <si>
    <t>Calcium, %</t>
  </si>
  <si>
    <t>Phosphorus, %</t>
  </si>
  <si>
    <t>Ingredient</t>
  </si>
  <si>
    <t>Trace mineral premix</t>
  </si>
  <si>
    <t>TOTAL</t>
  </si>
  <si>
    <t>ME, kcal/lb</t>
  </si>
  <si>
    <t>Cost/lb</t>
  </si>
  <si>
    <t>Cost/ton</t>
  </si>
  <si>
    <t>Cost with processing</t>
  </si>
  <si>
    <t>Cystine</t>
  </si>
  <si>
    <t>Sow add pack</t>
  </si>
  <si>
    <t>Zinc oxide</t>
  </si>
  <si>
    <t>Grind, Mix and Delivey fee</t>
  </si>
  <si>
    <t>/ton</t>
  </si>
  <si>
    <t>Vitamin premix with phytase</t>
  </si>
  <si>
    <t>Avail P:calorie ratio g/mcal</t>
  </si>
  <si>
    <t>NE NRC, kcal/kg</t>
  </si>
  <si>
    <t>NE NRC, kcal/lb</t>
  </si>
  <si>
    <t>NE Noblet Sow, kcal/lb</t>
  </si>
  <si>
    <t>NE Noblet Grow/Finish, kcal/lb</t>
  </si>
  <si>
    <t>NE Noblet Sow, kcal/kg</t>
  </si>
  <si>
    <t>Numbers in red are estimated values and not book values</t>
  </si>
  <si>
    <t>Methionine hydroxy analog</t>
  </si>
  <si>
    <t>Paylean, 9 g/lb</t>
  </si>
  <si>
    <t>DCAD</t>
  </si>
  <si>
    <t>Avail P, %</t>
  </si>
  <si>
    <t>Availability of Phos, %</t>
  </si>
  <si>
    <t>Developer base mix</t>
  </si>
  <si>
    <t>NE Noblet GF, kcal/kg</t>
  </si>
  <si>
    <t>Cysteine</t>
  </si>
  <si>
    <t>Other ingredients TID Lysine, %</t>
  </si>
  <si>
    <t>Targets</t>
  </si>
  <si>
    <t>Other nutrients, calculated</t>
  </si>
  <si>
    <t>- Available P, % (Terminal)</t>
  </si>
  <si>
    <t>Ether extract, %</t>
  </si>
  <si>
    <t>Crude fiber, %</t>
  </si>
  <si>
    <t>Lactose, %</t>
  </si>
  <si>
    <t>Iodine value</t>
  </si>
  <si>
    <t>Crude fat, %</t>
  </si>
  <si>
    <t>IV value of diet</t>
  </si>
  <si>
    <t>IV value of product, estimate</t>
  </si>
  <si>
    <t>Linoleic acid, %</t>
  </si>
  <si>
    <t>DE NRC, kcal/kg</t>
  </si>
  <si>
    <t>DE NRC, kcal/lb</t>
  </si>
  <si>
    <t>Copper sulfate</t>
  </si>
  <si>
    <t>ratio line</t>
  </si>
  <si>
    <t>Soybean oil</t>
  </si>
  <si>
    <t>Na, %</t>
  </si>
  <si>
    <t>Cl, %</t>
  </si>
  <si>
    <t>K, %</t>
  </si>
  <si>
    <t>Acidifier</t>
  </si>
  <si>
    <t>Vitamin E, 20,000 IU</t>
  </si>
  <si>
    <t>Weight Range</t>
  </si>
  <si>
    <t>Phytate P, %</t>
  </si>
  <si>
    <t>Total P - Avail P, %</t>
  </si>
  <si>
    <t>Zinc, %</t>
  </si>
  <si>
    <t>Iron, %</t>
  </si>
  <si>
    <t>Manganese, %</t>
  </si>
  <si>
    <t>Iodine, %</t>
  </si>
  <si>
    <t>Selenium, %</t>
  </si>
  <si>
    <t>Added trace mineral levels, %</t>
  </si>
  <si>
    <t>Chromium, %</t>
  </si>
  <si>
    <t>Added Vitamin levels</t>
  </si>
  <si>
    <t>Vit A, IU/lb</t>
  </si>
  <si>
    <t>Vit D, IU/lb</t>
  </si>
  <si>
    <t>Vit E, IU/lb</t>
  </si>
  <si>
    <t>Vit K (menadione), mg/lb</t>
  </si>
  <si>
    <t>Vit B12, mg/lb</t>
  </si>
  <si>
    <t>Niacin, mg/lb</t>
  </si>
  <si>
    <t>Pantothenic Acid, mg/lb</t>
  </si>
  <si>
    <t>Riboflavin, mg/lb</t>
  </si>
  <si>
    <t>Copper, %</t>
  </si>
  <si>
    <t>Biotin, mg/lb</t>
  </si>
  <si>
    <t>Folic acid, mg/lb</t>
  </si>
  <si>
    <t>Pyridoxine, mg/lb</t>
  </si>
  <si>
    <t>Choline, mg/lb</t>
  </si>
  <si>
    <t>Carnitine, mg/lb</t>
  </si>
  <si>
    <t>Glutamine</t>
  </si>
  <si>
    <t>Glutamic acid</t>
  </si>
  <si>
    <t>Biolys</t>
  </si>
  <si>
    <t>MHA dry</t>
  </si>
  <si>
    <t>Liquid lysine 60%</t>
  </si>
  <si>
    <t>Natuphos 600</t>
  </si>
  <si>
    <t>Natuphos 1200</t>
  </si>
  <si>
    <t>Optiphos 2000</t>
  </si>
  <si>
    <t>Phyzyme 1200</t>
  </si>
  <si>
    <t>Phyzyme 5000</t>
  </si>
  <si>
    <t>Phytase, FTU/lb (AOAC)</t>
  </si>
  <si>
    <t>Calculated SID Lysine Required, %</t>
  </si>
  <si>
    <t>Phytate P released, %</t>
  </si>
  <si>
    <t>Percent of total phytate phos released, %</t>
  </si>
  <si>
    <t>Feed budget, lb/pig</t>
  </si>
  <si>
    <t>Feed cost, $/pig</t>
  </si>
  <si>
    <t xml:space="preserve">  Zinc added, ppm</t>
  </si>
  <si>
    <t xml:space="preserve">  Iron added, ppm</t>
  </si>
  <si>
    <t xml:space="preserve">  Manganese added, ppm</t>
  </si>
  <si>
    <t xml:space="preserve">  Copper added, ppm</t>
  </si>
  <si>
    <t xml:space="preserve">  Iodine added, ppm</t>
  </si>
  <si>
    <t xml:space="preserve">  Selenium added, ppm</t>
  </si>
  <si>
    <t xml:space="preserve">  Chromium added, ppb</t>
  </si>
  <si>
    <t>Vitamins (added levels)</t>
  </si>
  <si>
    <t>Trace minerals (added levels)</t>
  </si>
  <si>
    <t xml:space="preserve">  Vit A, IU/ton</t>
  </si>
  <si>
    <t xml:space="preserve">  Vit D, IU/ton</t>
  </si>
  <si>
    <t xml:space="preserve">  Vit E, IU/ton</t>
  </si>
  <si>
    <t xml:space="preserve">  Vit K (menadione), mg/ton</t>
  </si>
  <si>
    <t xml:space="preserve">  Vit B12, mg/ton</t>
  </si>
  <si>
    <t xml:space="preserve">  Niacin, mg/ton</t>
  </si>
  <si>
    <t xml:space="preserve">  Pantothenic Acid, mg/ton</t>
  </si>
  <si>
    <t xml:space="preserve">  Riboflavin, mg/ton</t>
  </si>
  <si>
    <t xml:space="preserve">  Biotin, mg/ton</t>
  </si>
  <si>
    <t xml:space="preserve">  Folic acid, mg/ton</t>
  </si>
  <si>
    <t xml:space="preserve">  Pyridoxine, mg/ton</t>
  </si>
  <si>
    <t xml:space="preserve">  Choline, mg/ton</t>
  </si>
  <si>
    <t xml:space="preserve">  Carnitine, mg/ton</t>
  </si>
  <si>
    <t>F/G</t>
  </si>
  <si>
    <t>Ca:P</t>
  </si>
  <si>
    <t>SID amino acids, %</t>
  </si>
  <si>
    <t>Ca, %</t>
  </si>
  <si>
    <t>P, %</t>
  </si>
  <si>
    <t>Available P, %</t>
  </si>
  <si>
    <t>Potassium chloride</t>
  </si>
  <si>
    <t>Calcium chloride</t>
  </si>
  <si>
    <t>- Avail P:ME, g/mcal (terminal)</t>
  </si>
  <si>
    <t>- Avail P:ME, g/mcal (Replacements)</t>
  </si>
  <si>
    <t>Lysine:CP</t>
  </si>
  <si>
    <t>- Lysine:CP, Maximum</t>
  </si>
  <si>
    <t>- Ca:P, Maximum</t>
  </si>
  <si>
    <t>- Ca:P, Minimum</t>
  </si>
  <si>
    <t>CP, %</t>
  </si>
  <si>
    <t>Available P w/o phytase, %</t>
  </si>
  <si>
    <t xml:space="preserve"> </t>
  </si>
  <si>
    <t>Weight, lb</t>
  </si>
  <si>
    <t>Boyd</t>
  </si>
  <si>
    <t>PIC gilt</t>
  </si>
  <si>
    <t>PIC barrow</t>
  </si>
  <si>
    <t>PIC Mixed</t>
  </si>
  <si>
    <t>Genetiporc</t>
  </si>
  <si>
    <t>Lysine requirement</t>
  </si>
  <si>
    <t>X2</t>
  </si>
  <si>
    <t>X</t>
  </si>
  <si>
    <t>y intercept</t>
  </si>
  <si>
    <t>KSU1</t>
  </si>
  <si>
    <t>Main</t>
  </si>
  <si>
    <t>Ash, % as fed</t>
  </si>
  <si>
    <t>Dry matter, %</t>
  </si>
  <si>
    <t>GF DDGS Base Mix</t>
  </si>
  <si>
    <t>GF synthetics Base Mix</t>
  </si>
  <si>
    <t>DPS 50</t>
  </si>
  <si>
    <t>PEP2+</t>
  </si>
  <si>
    <t>PEP NS</t>
  </si>
  <si>
    <t>Choline chloride 60%</t>
  </si>
  <si>
    <t>Energy, kcal/kg</t>
  </si>
  <si>
    <t>Proximate analyses &amp; Carbohyrates (%)</t>
  </si>
  <si>
    <t>Additional values</t>
  </si>
  <si>
    <t>Total amino acid content (%)</t>
  </si>
  <si>
    <t>Standardized ileal digestibility (SID) of amino acids (%)</t>
  </si>
  <si>
    <t>Phytate P content (%) and P digestibility (%)</t>
  </si>
  <si>
    <t>AID amino acid content (%) - calculated</t>
  </si>
  <si>
    <t>SID amino acid content (%) - calculated</t>
  </si>
  <si>
    <t>Digestible P content (%) - calculated</t>
  </si>
  <si>
    <t>GE</t>
  </si>
  <si>
    <t>Dry Matter</t>
  </si>
  <si>
    <t>Crude protein (Nx6.25)</t>
  </si>
  <si>
    <t>Acid ether extract</t>
  </si>
  <si>
    <t>Ash</t>
  </si>
  <si>
    <t>Sucrose</t>
  </si>
  <si>
    <t>Raffinose</t>
  </si>
  <si>
    <t>Stachy-ose</t>
  </si>
  <si>
    <t>Verbas-cose</t>
  </si>
  <si>
    <t>Oligosac-charides</t>
  </si>
  <si>
    <t>Starch</t>
  </si>
  <si>
    <t>NDF</t>
  </si>
  <si>
    <t>ADF</t>
  </si>
  <si>
    <t>AD ligin</t>
  </si>
  <si>
    <t>Total DF</t>
  </si>
  <si>
    <t>Insol DF</t>
  </si>
  <si>
    <t>Sol DF</t>
  </si>
  <si>
    <t>Organic Residue (Fiber; %)</t>
  </si>
  <si>
    <t>Digestibility organic residue (%)</t>
  </si>
  <si>
    <t>Carbon (%)</t>
  </si>
  <si>
    <t>Arg</t>
  </si>
  <si>
    <t>His</t>
  </si>
  <si>
    <t>Ile</t>
  </si>
  <si>
    <t>Leu</t>
  </si>
  <si>
    <t>Lys</t>
  </si>
  <si>
    <t>Met</t>
  </si>
  <si>
    <t>Phe</t>
  </si>
  <si>
    <t>Thr</t>
  </si>
  <si>
    <t>Trp</t>
  </si>
  <si>
    <t>Val</t>
  </si>
  <si>
    <t>Tyr</t>
  </si>
  <si>
    <t>Crude Protein (N)</t>
  </si>
  <si>
    <t>Mg</t>
  </si>
  <si>
    <t>S</t>
  </si>
  <si>
    <t xml:space="preserve">Phytate P </t>
  </si>
  <si>
    <t>ATTD</t>
  </si>
  <si>
    <t>STTD</t>
  </si>
  <si>
    <t>Ferm Fiber (%)</t>
  </si>
  <si>
    <t>Met+Cys</t>
  </si>
  <si>
    <t>Phe+Tyr</t>
  </si>
  <si>
    <t>Ingredient Library</t>
  </si>
  <si>
    <t>Alfalfa Meal</t>
  </si>
  <si>
    <t>Bakery Meal</t>
  </si>
  <si>
    <t>Barley, Hulless</t>
  </si>
  <si>
    <t>Beans, Faba</t>
  </si>
  <si>
    <t>Blood Meal</t>
  </si>
  <si>
    <t>Blood Plasma</t>
  </si>
  <si>
    <t>Brewers Grain</t>
  </si>
  <si>
    <t>Canola, Full Fat</t>
  </si>
  <si>
    <t>Canola Meal, Expelled</t>
  </si>
  <si>
    <t>Canola Meal, Solvent Extracted</t>
  </si>
  <si>
    <t>Casava Meal</t>
  </si>
  <si>
    <t>Citrus Pulp</t>
  </si>
  <si>
    <t>Copra Meal</t>
  </si>
  <si>
    <t>Corn, Yellow Dent</t>
  </si>
  <si>
    <t>Corn, Nutridense</t>
  </si>
  <si>
    <t>Corn Bran</t>
  </si>
  <si>
    <t>Corn DDG</t>
  </si>
  <si>
    <t>Corn DDGS, &gt;10% Oil</t>
  </si>
  <si>
    <t>Corn DDGS, &gt;6 and &lt;9% Oil</t>
  </si>
  <si>
    <t>Corn DDGS, &lt;4% Oil</t>
  </si>
  <si>
    <t>Corn HP DDG</t>
  </si>
  <si>
    <t>Corn Germ</t>
  </si>
  <si>
    <t>Corn Germ Meal</t>
  </si>
  <si>
    <t>Corn Gluten Feed</t>
  </si>
  <si>
    <t>Corn Gluten Meal</t>
  </si>
  <si>
    <t>Corn Grits, Hominy Feed</t>
  </si>
  <si>
    <t>Cotton Seeds, Fullfat</t>
  </si>
  <si>
    <t>Cotton Seed Meal</t>
  </si>
  <si>
    <t>Feather Meal</t>
  </si>
  <si>
    <t>Fish Meal Combined</t>
  </si>
  <si>
    <t>Flaxseed</t>
  </si>
  <si>
    <t>Flaxseed Meal</t>
  </si>
  <si>
    <t>Lupins</t>
  </si>
  <si>
    <t>Meat Meal</t>
  </si>
  <si>
    <t>Meat and Bone Meal, P &gt;4%</t>
  </si>
  <si>
    <t>Milk, Casein</t>
  </si>
  <si>
    <t>Milk, Lactose</t>
  </si>
  <si>
    <t>Milk, Skim Milk Powder</t>
  </si>
  <si>
    <t>Milk, Whey Powder</t>
  </si>
  <si>
    <t>Milk, Whey Protein Concentrate</t>
  </si>
  <si>
    <t>Millet</t>
  </si>
  <si>
    <t>Molasses, Sugarbeet</t>
  </si>
  <si>
    <t>Molasses, Sugarcane</t>
  </si>
  <si>
    <t>Oats</t>
  </si>
  <si>
    <t>Oats, Naked</t>
  </si>
  <si>
    <t>Oat Groats</t>
  </si>
  <si>
    <t>Peanut Meal, Expelled</t>
  </si>
  <si>
    <t>Peanut Meal, Extracted</t>
  </si>
  <si>
    <t>Peas, Field Peas</t>
  </si>
  <si>
    <t>Pea Protein Concentrate</t>
  </si>
  <si>
    <t>Potato Protein Concentrate</t>
  </si>
  <si>
    <t>Poultry Byproduct</t>
  </si>
  <si>
    <t>Rice</t>
  </si>
  <si>
    <t>Rice Bran</t>
  </si>
  <si>
    <t>Rice Bran, Defatted</t>
  </si>
  <si>
    <t>Rice, Broken</t>
  </si>
  <si>
    <t>Rye</t>
  </si>
  <si>
    <t>Sesame Meal</t>
  </si>
  <si>
    <t>Sorghum</t>
  </si>
  <si>
    <t>Soybeans, Full Fat</t>
  </si>
  <si>
    <t>Soybeans, High Protein, Full Fat</t>
  </si>
  <si>
    <t>Soybeans, Low Oligosaccharide, Full Fat</t>
  </si>
  <si>
    <t>Soybean Meal, High Protein, Expelled</t>
  </si>
  <si>
    <t>Soybean Meal, Low Oligosacch, Expell</t>
  </si>
  <si>
    <t>Soybean Meal, Expelled</t>
  </si>
  <si>
    <t>Soybean Meal, Dehulled, Expelled</t>
  </si>
  <si>
    <t>Soybean Meal, Solvent Extracted</t>
  </si>
  <si>
    <t>Soybean Meal, Dehull, Sol Extr</t>
  </si>
  <si>
    <t>Soybean Meal, High Prot, Dehull, Solv Extr</t>
  </si>
  <si>
    <t>Soybean Meal, Enzyme Treated</t>
  </si>
  <si>
    <t>Soybean Meal, Fermented</t>
  </si>
  <si>
    <t>Soybean Hulls</t>
  </si>
  <si>
    <t>Soy Protein Concentrate</t>
  </si>
  <si>
    <t>Soy Protein Isolate</t>
  </si>
  <si>
    <t>Sugar Beet Pulp</t>
  </si>
  <si>
    <t>Sunflower, Full Fat</t>
  </si>
  <si>
    <t>Sunflower Meal, Solvent Extracted</t>
  </si>
  <si>
    <t>Sunflower Meal, Dehulled, Solvent Extr</t>
  </si>
  <si>
    <t>Triticale</t>
  </si>
  <si>
    <t>Wheat, Hard Red</t>
  </si>
  <si>
    <t>Wheat, Soft Red</t>
  </si>
  <si>
    <t>Wheat Bran</t>
  </si>
  <si>
    <t>Wheat Middlings</t>
  </si>
  <si>
    <t>Wheat Shorts</t>
  </si>
  <si>
    <t>Wheat DDGS</t>
  </si>
  <si>
    <t>Yeast, Brewers' Yeast</t>
  </si>
  <si>
    <t>Yeast, Single Cell Protein</t>
  </si>
  <si>
    <t>Beef Tallow</t>
  </si>
  <si>
    <t>Choice White Grease</t>
  </si>
  <si>
    <t>Poultry Fat</t>
  </si>
  <si>
    <t>Lard</t>
  </si>
  <si>
    <t>Restaurant Grease</t>
  </si>
  <si>
    <t>Canola oil</t>
  </si>
  <si>
    <t>Coconut oil</t>
  </si>
  <si>
    <t>Corn oil</t>
  </si>
  <si>
    <t>Palm Kernel oil</t>
  </si>
  <si>
    <t>Soybean Lecithin</t>
  </si>
  <si>
    <t>Sunflower oil</t>
  </si>
  <si>
    <t>Fat, A/V blend</t>
  </si>
  <si>
    <t>Calcium carbonate</t>
  </si>
  <si>
    <t>Calcium phosphate (tricalcium)</t>
  </si>
  <si>
    <t>Calcium phosphate (dicalcium)</t>
  </si>
  <si>
    <t>Calcium phosphate (monocalcium)</t>
  </si>
  <si>
    <t>Calcium sulfate, dihydrate</t>
  </si>
  <si>
    <t>Magnesium phosphate</t>
  </si>
  <si>
    <t>Sodium carbonate</t>
  </si>
  <si>
    <t>Sodium bicarbonate</t>
  </si>
  <si>
    <t>Sodium chloride</t>
  </si>
  <si>
    <t>Sodium phosphate, monobasic</t>
  </si>
  <si>
    <t>Sodium sulfate, decahydrate</t>
  </si>
  <si>
    <t>DL-Met</t>
  </si>
  <si>
    <t>L-Thr</t>
  </si>
  <si>
    <t>L-Trp</t>
  </si>
  <si>
    <t>L-Val</t>
  </si>
  <si>
    <t>Limestone, ground</t>
  </si>
  <si>
    <t>Other ingredient</t>
  </si>
  <si>
    <t>Vitamin premix without phytase</t>
  </si>
  <si>
    <t xml:space="preserve"> - 2012 NRC values = first option and have ingredient number; French book = second option</t>
  </si>
  <si>
    <t>Gilt required SID Lys:NE Ratio</t>
  </si>
  <si>
    <t>Stand. Dig. P w/out phytase, %</t>
  </si>
  <si>
    <t>Stand. Dig. P with phytase, %</t>
  </si>
  <si>
    <t>Gilt required SID Lys:ME Ratio</t>
  </si>
  <si>
    <t>Corn DDGS, 10.5% Oil</t>
  </si>
  <si>
    <t>Corn DDGS, 7.5% Oil</t>
  </si>
  <si>
    <t>Corn DDGS, 4.5% Oil</t>
  </si>
  <si>
    <t>Ser</t>
  </si>
  <si>
    <t>Gly</t>
  </si>
  <si>
    <t>Pro</t>
  </si>
  <si>
    <t>18:2% of fat</t>
  </si>
  <si>
    <t>18:3% of fat</t>
  </si>
  <si>
    <t>EFA, % of ingredient</t>
  </si>
  <si>
    <t>Phytase units, FTU/kg</t>
  </si>
  <si>
    <t>EFA, %</t>
  </si>
  <si>
    <t>Milk, Whey Permeate, 80% lactose</t>
  </si>
  <si>
    <t>Ronozyme Hiphos GT (10,000)</t>
  </si>
  <si>
    <t>Phytase tag, FTU/g</t>
  </si>
  <si>
    <t>Ronozyme Hiphos M (50,000)</t>
  </si>
  <si>
    <t>Ronozyme HiPhos 2700</t>
  </si>
  <si>
    <t>Vitamin premix (2x) with phytase</t>
  </si>
  <si>
    <t>Vitamin premix (2x) without phytase</t>
  </si>
  <si>
    <t>NRC Ca, %</t>
  </si>
  <si>
    <t>NRC Ca:STTD P</t>
  </si>
  <si>
    <t>NRC STTD P, %</t>
  </si>
  <si>
    <t>STTD Ca, %</t>
  </si>
  <si>
    <t>STTD Ca, % with phytase</t>
  </si>
  <si>
    <t>Dig Ca calculated</t>
  </si>
  <si>
    <t>STTD w/phytase</t>
  </si>
  <si>
    <t>STTD Ca, % without phytase</t>
  </si>
  <si>
    <t>STTD Ca:STTD P</t>
  </si>
  <si>
    <t>KSU current</t>
  </si>
  <si>
    <t>Lys:ME, PIC gilts</t>
  </si>
  <si>
    <t>- STTD P, % (Terminal)</t>
  </si>
  <si>
    <t>Fermex 200</t>
  </si>
  <si>
    <t>L-Lys-HCl</t>
  </si>
  <si>
    <t>2018 Starter base mix</t>
  </si>
  <si>
    <t>2018 Grow-finish base mix</t>
  </si>
  <si>
    <t>2018 Sow base mix</t>
  </si>
  <si>
    <t xml:space="preserve">  Lys</t>
  </si>
  <si>
    <t xml:space="preserve">  Ile:Lys</t>
  </si>
  <si>
    <t xml:space="preserve">  Leu:Lys</t>
  </si>
  <si>
    <t xml:space="preserve">  Met:Lys</t>
  </si>
  <si>
    <t xml:space="preserve">  Met &amp; Cys:Lys</t>
  </si>
  <si>
    <t xml:space="preserve">  Thr:Lys</t>
  </si>
  <si>
    <t xml:space="preserve">  Trp:Lys</t>
  </si>
  <si>
    <t xml:space="preserve">  Val:Lys</t>
  </si>
  <si>
    <t>Total Lys, %</t>
  </si>
  <si>
    <t>SID Lys:NE, g/Mcal</t>
  </si>
  <si>
    <t>Total Lys:ME, g/mcal</t>
  </si>
  <si>
    <t>SID Lys:ME, g/mcal</t>
  </si>
  <si>
    <t>Calc. PIC SID Lysine Required, %</t>
  </si>
  <si>
    <t>Phase 2 supplement 2018</t>
  </si>
  <si>
    <t xml:space="preserve">  His:Lys</t>
  </si>
  <si>
    <t>- SID His:Lys</t>
  </si>
  <si>
    <t>- SID Val:Lys</t>
  </si>
  <si>
    <t>- SID Trp:Lys</t>
  </si>
  <si>
    <t>- SID Thr:Lys</t>
  </si>
  <si>
    <t>- SID Met &amp; Cys:Lys</t>
  </si>
  <si>
    <t>- SID Met:Lys</t>
  </si>
  <si>
    <t>- SID Leu:Lys</t>
  </si>
  <si>
    <t>- SID Ile:Lys</t>
  </si>
  <si>
    <t>NDF, %</t>
  </si>
  <si>
    <t>Alanine</t>
  </si>
  <si>
    <t>Asp</t>
  </si>
  <si>
    <t>Glu</t>
  </si>
  <si>
    <t xml:space="preserve">  Arg:Lys</t>
  </si>
  <si>
    <t xml:space="preserve">  Phe:Lys</t>
  </si>
  <si>
    <t xml:space="preserve">  Phe&amp;Tyr:Lys</t>
  </si>
  <si>
    <t>Ala</t>
  </si>
  <si>
    <t xml:space="preserve">  Ala:Lys</t>
  </si>
  <si>
    <t xml:space="preserve">  Asp:Lys</t>
  </si>
  <si>
    <t xml:space="preserve">  Glu:Lys</t>
  </si>
  <si>
    <t xml:space="preserve">  Gly:Lys</t>
  </si>
  <si>
    <t xml:space="preserve">  Pro:Lys</t>
  </si>
  <si>
    <t xml:space="preserve">  Syr:Lys</t>
  </si>
  <si>
    <t xml:space="preserve">   TBCAA:Lys</t>
  </si>
  <si>
    <t xml:space="preserve">   Val:Leu</t>
  </si>
  <si>
    <t xml:space="preserve">   Leu:Ile</t>
  </si>
  <si>
    <t xml:space="preserve">   Ile:Leu</t>
  </si>
  <si>
    <t xml:space="preserve">   Leu:Val</t>
  </si>
  <si>
    <t>L-Ile</t>
  </si>
  <si>
    <t>Soybean meal with 88% NE of corn</t>
  </si>
  <si>
    <t>VAL:LEU</t>
  </si>
  <si>
    <t>ILE:LEU</t>
  </si>
  <si>
    <t>VAL:ILE</t>
  </si>
  <si>
    <t>TRP:LEU</t>
  </si>
  <si>
    <t>Leu:CP</t>
  </si>
  <si>
    <t>Glycine</t>
  </si>
  <si>
    <t>PIC gilt required SID Lys:NE Ratio</t>
  </si>
  <si>
    <t>Lys:NE, Barrows KSU</t>
  </si>
  <si>
    <t>KSU gilts, %</t>
  </si>
  <si>
    <t>KSU barrows, %</t>
  </si>
  <si>
    <t>KSU mixed sex, %</t>
  </si>
  <si>
    <t>Blue Dye NFP</t>
  </si>
  <si>
    <t>HP 300 2019 NFP</t>
  </si>
  <si>
    <t>AX3 Digest NFP</t>
  </si>
  <si>
    <t>Phase 2 supplement 2018 NFP</t>
  </si>
  <si>
    <t>Femex 200 NFP</t>
  </si>
  <si>
    <t>AV-E Digest NFP</t>
  </si>
  <si>
    <t>QFP Cereal Blend NFP</t>
  </si>
  <si>
    <t>FXP Ani-Tek NFP</t>
  </si>
  <si>
    <t>NFP VTM Grower (2021)</t>
  </si>
  <si>
    <t>NFP VTM Sow (2021)</t>
  </si>
  <si>
    <t>VevoVitall NFP</t>
  </si>
  <si>
    <t xml:space="preserve">NFP Custom Manganese </t>
  </si>
  <si>
    <t>Fat Build R2 All Veg 4000 NFP</t>
  </si>
  <si>
    <t>NFP Custom Zinc</t>
  </si>
  <si>
    <t>THRPRO-L Threonine 80% NFP</t>
  </si>
  <si>
    <t>Copper Chloride Intellibond TBCC NFP</t>
  </si>
  <si>
    <t>DDGS 7.5% Oil Green Plains NFP</t>
  </si>
  <si>
    <t>NHF GF VTM 2#</t>
  </si>
  <si>
    <t xml:space="preserve">Hubbard Vit Premix </t>
  </si>
  <si>
    <t>Hubbard TMP</t>
  </si>
  <si>
    <t>Inorganic Se 600 ppm Hubbard</t>
  </si>
  <si>
    <t>Quantum Blue  5G Hubbard</t>
  </si>
  <si>
    <t>TASA Swine Hubbard</t>
  </si>
  <si>
    <t>TASA Prime meal Hubbard</t>
  </si>
  <si>
    <t>TASA fish solubles Hubbard</t>
  </si>
  <si>
    <t>Mepro + TASA additive Hubbard</t>
  </si>
  <si>
    <t>TASA Prime + TASA additive Hubbard</t>
  </si>
  <si>
    <t>NHF SOW VTM 4# 2022</t>
  </si>
  <si>
    <t xml:space="preserve">ThrPro </t>
  </si>
  <si>
    <t>NHF Optiphos Plus 2500 G</t>
  </si>
  <si>
    <t>NHF Corn DDGS, Valero, Aurora</t>
  </si>
  <si>
    <t xml:space="preserve">NFP Soybean meal w/88% NE of corn </t>
  </si>
  <si>
    <t>MEPRO NFP</t>
  </si>
  <si>
    <t>AlphaGal 280 P NFP</t>
  </si>
  <si>
    <t>LipoVital GL 90 NFP</t>
  </si>
  <si>
    <t>MEPRO Hubbard</t>
  </si>
  <si>
    <t>HP 300 Hubbard</t>
  </si>
  <si>
    <t>Tribasic copper chloride</t>
  </si>
  <si>
    <t>NHF Corn DDGS, Illuminate for Aurora</t>
  </si>
  <si>
    <t>NFP Corn DDGS, MO analysis</t>
  </si>
  <si>
    <t>NFP Smizyme 2500</t>
  </si>
  <si>
    <t>NHF HP300 2019 loadings</t>
  </si>
  <si>
    <t>Phytate P (ingredient), %</t>
  </si>
  <si>
    <t>HP 300 2022 loadings</t>
  </si>
  <si>
    <t>Lysine Recommendations for Grow-Finish Pigs</t>
  </si>
  <si>
    <t>Grow Performance</t>
  </si>
  <si>
    <t>IOFC</t>
  </si>
  <si>
    <t>Corn, $/bu</t>
  </si>
  <si>
    <t>ADG</t>
  </si>
  <si>
    <t>Trial</t>
  </si>
  <si>
    <t>ADG, g</t>
  </si>
  <si>
    <t>ADFI, g</t>
  </si>
  <si>
    <t>G:F</t>
  </si>
  <si>
    <t>Experiment 1</t>
  </si>
  <si>
    <t>Duration, days</t>
  </si>
  <si>
    <t>Total gain, kg</t>
  </si>
  <si>
    <t>Revenue</t>
  </si>
  <si>
    <t>Total feed consumed, kg</t>
  </si>
  <si>
    <t>Diet cost, $/kg</t>
  </si>
  <si>
    <t>Total feed cost, $/pig</t>
  </si>
  <si>
    <t>IOFC, $/pig</t>
  </si>
  <si>
    <t>Max IOFC</t>
  </si>
  <si>
    <t>A</t>
  </si>
  <si>
    <t>B</t>
  </si>
  <si>
    <t>C</t>
  </si>
  <si>
    <t>D</t>
  </si>
  <si>
    <t>E</t>
  </si>
  <si>
    <t>F</t>
  </si>
  <si>
    <t>G</t>
  </si>
  <si>
    <t>SID Lys:NE level at max</t>
  </si>
  <si>
    <t xml:space="preserve">SID Lys:NE </t>
  </si>
  <si>
    <t>Experiment 2</t>
  </si>
  <si>
    <t>ADG, kg</t>
  </si>
  <si>
    <t>ADFI, kg</t>
  </si>
  <si>
    <t>SID Lys:NE</t>
  </si>
  <si>
    <t>F:G</t>
  </si>
  <si>
    <t>Experiment 3</t>
  </si>
  <si>
    <t>Experiment 4</t>
  </si>
  <si>
    <t>Experiment 5</t>
  </si>
  <si>
    <t>Avg Wt</t>
  </si>
  <si>
    <t>Start weight, kg</t>
  </si>
  <si>
    <t>End weight, kg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</si>
  <si>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</si>
  <si>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</si>
  <si>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</si>
  <si>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</si>
  <si>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</si>
  <si>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</si>
  <si>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</si>
  <si>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</si>
  <si>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</si>
  <si>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</si>
  <si>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</si>
  <si>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</si>
  <si>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</si>
  <si>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</si>
  <si>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</si>
  <si>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</si>
  <si>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</si>
  <si>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</si>
  <si>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</si>
  <si>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</si>
  <si>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</si>
  <si>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</si>
  <si>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</si>
  <si>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</si>
  <si>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EXP. 1</t>
  </si>
  <si>
    <t>EXP. 2</t>
  </si>
  <si>
    <t>EXP. 3</t>
  </si>
  <si>
    <t>EXP. 4</t>
  </si>
  <si>
    <t>EXP. 5</t>
  </si>
  <si>
    <t>Avg Wt^2</t>
  </si>
  <si>
    <t>X Variable 2</t>
  </si>
  <si>
    <t>Regression Coefficients</t>
  </si>
  <si>
    <t>SID Lysine:NE Ratio, g/Mcal</t>
  </si>
  <si>
    <t>SID Lysine, %</t>
  </si>
  <si>
    <t>Maximum Growth Potential</t>
  </si>
  <si>
    <t>Maximum IOFC</t>
  </si>
  <si>
    <t>$/tonne</t>
  </si>
  <si>
    <t>$/kg</t>
  </si>
  <si>
    <t>Dietary Net Energy, kcal/kg</t>
  </si>
  <si>
    <t>Carcass Price</t>
  </si>
  <si>
    <t>SBM</t>
  </si>
  <si>
    <t>Monocal</t>
  </si>
  <si>
    <t>Limestone</t>
  </si>
  <si>
    <t>L-Lys HCl</t>
  </si>
  <si>
    <t>Live Price</t>
  </si>
  <si>
    <t>SID Lys,%</t>
  </si>
  <si>
    <t>Growth Performance</t>
  </si>
  <si>
    <t>quadratic from thesis</t>
  </si>
  <si>
    <t>Lysine Calculator for DNA 600 x 241 Grow-Finish Pigs</t>
  </si>
  <si>
    <t>Weight, kg</t>
  </si>
  <si>
    <t>Additional feed required, kg</t>
  </si>
  <si>
    <t>ADG for Max Growth</t>
  </si>
  <si>
    <t>ADG from Max IOFC</t>
  </si>
  <si>
    <t>Days on Feed (Max Growth)</t>
  </si>
  <si>
    <t>Days on Feed (Max IOFC)</t>
  </si>
  <si>
    <t>G:F from Max Growth</t>
  </si>
  <si>
    <t>G:F from Max IOFC</t>
  </si>
  <si>
    <t>ADFI from Max Growth</t>
  </si>
  <si>
    <t>ADFI from Max IOFC</t>
  </si>
  <si>
    <t>Fixed Time</t>
  </si>
  <si>
    <t>Fixed Weight</t>
  </si>
  <si>
    <t>IOFC Regression Equation</t>
  </si>
  <si>
    <t>IOFC at Max Growth Regression Equation</t>
  </si>
  <si>
    <t>Lys @ Max G</t>
  </si>
  <si>
    <t>IOFC @ Max G</t>
  </si>
  <si>
    <t>Difference for maximum IOFC vs maximum growth</t>
  </si>
  <si>
    <t>Loss in ADG, kg</t>
  </si>
  <si>
    <t>Savings, $/pig for max IOFC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</si>
</sst>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.00"/>
    <numFmt numFmtId="166" formatCode="0.0%"/>
    <numFmt numFmtId="167" formatCode="_(&quot;$&quot;* #,##0_);_(&quot;$&quot;* \(#,##0\);_(&quot;$&quot;* &quot;-&quot;??_);_(@_)"/>
    <numFmt numFmtId="168" formatCode="_(&quot;$&quot;* #,##0.000_);_(&quot;$&quot;* \(#,##0.000\);_(&quot;$&quot;* &quot;-&quot;??_);_(@_)"/>
    <numFmt numFmtId="169" formatCode="#,##0.0"/>
    <numFmt numFmtId="170" formatCode="&quot;$&quot;#,##0.00"/>
    <numFmt numFmtId="171" formatCode="0.000%"/>
    <numFmt numFmtId="172" formatCode="0.0000%"/>
    <numFmt numFmtId="173" formatCode="0.000"/>
    <numFmt numFmtId="174" formatCode="0.000000"/>
    <numFmt numFmtId="175" formatCode="_(* #,##0_);_(* \(#,##0\);_(* &quot;-&quot;??_);_(@_)"/>
    <numFmt numFmtId="176" formatCode="0.0000"/>
    <numFmt numFmtId="177" formatCode="0.00000"/>
    <numFmt numFmtId="178" formatCode="0.00000000"/>
    <numFmt numFmtId="179" formatCode="_(&quot;$&quot;* #,##0.00000_);_(&quot;$&quot;* \(#,##0.00000\);_(&quot;$&quot;* &quot;-&quot;??_);_(@_)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24"/>
      <color rgb="FF7030A0"/>
      <name val="Calibri"/>
      <family val="2"/>
      <scheme val="minor"/>
    </font>
    <font>
      <sz val="28"/>
      <color theme="0"/>
      <name val="Calibri"/>
      <family val="2"/>
      <scheme val="minor"/>
    </font>
    <font>
      <sz val="26"/>
      <color rgb="FF7030A0"/>
      <name val="Calibri"/>
      <family val="2"/>
      <scheme val="minor"/>
    </font>
    <font>
      <sz val="28"/>
      <color rgb="FF7030A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name val="Times New Roman"/>
      <family val="1"/>
    </font>
    <font>
      <i/>
      <sz val="10"/>
      <name val="Arial"/>
      <family val="2"/>
    </font>
    <font>
      <sz val="8"/>
      <name val="Arial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8"/>
      <color rgb="FF7030A0"/>
      <name val="Calibri"/>
      <family val="2"/>
      <scheme val="minor"/>
    </font>
    <font>
      <sz val="18"/>
      <color rgb="FF7030A0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DFF9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thin">
        <color indexed="64"/>
      </bottom>
      <diagonal/>
    </border>
    <border>
      <left style="medium">
        <color rgb="FF7030A0"/>
      </left>
      <right/>
      <top style="medium">
        <color rgb="FF7030A0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thin">
        <color theme="1"/>
      </bottom>
      <diagonal/>
    </border>
    <border>
      <left style="medium">
        <color rgb="FF7030A0"/>
      </left>
      <right style="medium">
        <color rgb="FF7030A0"/>
      </right>
      <top style="thin">
        <color theme="1"/>
      </top>
      <bottom style="thin">
        <color theme="1"/>
      </bottom>
      <diagonal/>
    </border>
    <border>
      <left style="medium">
        <color rgb="FF7030A0"/>
      </left>
      <right style="medium">
        <color rgb="FF7030A0"/>
      </right>
      <top style="thin">
        <color theme="1"/>
      </top>
      <bottom style="medium">
        <color rgb="FF7030A0"/>
      </bottom>
      <diagonal/>
    </border>
    <border>
      <left/>
      <right/>
      <top style="medium">
        <color rgb="FF7030A0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rgb="FF7030A0"/>
      </left>
      <right/>
      <top style="thin">
        <color theme="1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thin">
        <color theme="1"/>
      </bottom>
      <diagonal/>
    </border>
    <border>
      <left style="medium">
        <color rgb="FF7030A0"/>
      </left>
      <right/>
      <top style="thin">
        <color theme="1"/>
      </top>
      <bottom style="thin">
        <color theme="1"/>
      </bottom>
      <diagonal/>
    </border>
  </borders>
  <cellStyleXfs count="10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3" fillId="0" borderId="0"/>
    <xf numFmtId="0" fontId="19" fillId="0" borderId="0"/>
    <xf numFmtId="0" fontId="2" fillId="0" borderId="0"/>
    <xf numFmtId="0" fontId="1" fillId="0" borderId="0"/>
  </cellStyleXfs>
  <cellXfs count="507">
    <xf numFmtId="0" fontId="0" fillId="0" borderId="0" xfId="0"/>
    <xf numFmtId="0" fontId="0" fillId="0" borderId="0" xfId="0" applyBorder="1"/>
    <xf numFmtId="0" fontId="0" fillId="0" borderId="1" xfId="0" applyBorder="1"/>
    <xf numFmtId="164" fontId="0" fillId="0" borderId="2" xfId="0" applyNumberFormat="1" applyBorder="1"/>
    <xf numFmtId="2" fontId="0" fillId="0" borderId="0" xfId="0" applyNumberFormat="1"/>
    <xf numFmtId="2" fontId="0" fillId="0" borderId="0" xfId="0" quotePrefix="1" applyNumberForma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Border="1" applyAlignment="1">
      <alignment horizontal="centerContinuous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43" fontId="6" fillId="0" borderId="0" xfId="1" applyNumberFormat="1"/>
    <xf numFmtId="164" fontId="0" fillId="0" borderId="0" xfId="0" applyNumberFormat="1" applyBorder="1"/>
    <xf numFmtId="0" fontId="0" fillId="0" borderId="0" xfId="0" applyProtection="1">
      <protection locked="0"/>
    </xf>
    <xf numFmtId="0" fontId="0" fillId="2" borderId="0" xfId="0" applyFill="1" applyBorder="1" applyAlignment="1" applyProtection="1">
      <alignment horizontal="centerContinuous"/>
      <protection locked="0"/>
    </xf>
    <xf numFmtId="0" fontId="0" fillId="2" borderId="0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9" fontId="8" fillId="0" borderId="0" xfId="3" applyFont="1"/>
    <xf numFmtId="0" fontId="11" fillId="0" borderId="0" xfId="0" applyFont="1"/>
    <xf numFmtId="0" fontId="5" fillId="0" borderId="3" xfId="0" applyFont="1" applyBorder="1" applyAlignment="1" applyProtection="1">
      <alignment horizontal="center" wrapText="1"/>
      <protection locked="0"/>
    </xf>
    <xf numFmtId="44" fontId="0" fillId="2" borderId="4" xfId="2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0" borderId="0" xfId="0" applyNumberFormat="1"/>
    <xf numFmtId="0" fontId="0" fillId="0" borderId="0" xfId="0" applyFill="1" applyBorder="1"/>
    <xf numFmtId="9" fontId="0" fillId="0" borderId="0" xfId="3" applyFont="1" applyAlignment="1">
      <alignment horizontal="center"/>
    </xf>
    <xf numFmtId="0" fontId="0" fillId="0" borderId="0" xfId="0" quotePrefix="1"/>
    <xf numFmtId="0" fontId="13" fillId="0" borderId="3" xfId="0" applyFont="1" applyBorder="1" applyAlignment="1">
      <alignment horizontal="left"/>
    </xf>
    <xf numFmtId="0" fontId="0" fillId="0" borderId="3" xfId="0" applyBorder="1"/>
    <xf numFmtId="0" fontId="0" fillId="2" borderId="6" xfId="0" applyFill="1" applyBorder="1" applyAlignment="1">
      <alignment horizontal="centerContinuous"/>
    </xf>
    <xf numFmtId="0" fontId="0" fillId="2" borderId="7" xfId="0" applyFill="1" applyBorder="1" applyAlignment="1">
      <alignment horizontal="centerContinuous"/>
    </xf>
    <xf numFmtId="0" fontId="0" fillId="0" borderId="6" xfId="0" applyBorder="1"/>
    <xf numFmtId="0" fontId="5" fillId="0" borderId="6" xfId="0" applyFont="1" applyBorder="1" applyAlignment="1" applyProtection="1">
      <alignment horizontal="center" wrapText="1"/>
      <protection locked="0"/>
    </xf>
    <xf numFmtId="168" fontId="0" fillId="2" borderId="6" xfId="2" applyNumberFormat="1" applyFont="1" applyFill="1" applyBorder="1" applyAlignment="1" applyProtection="1">
      <alignment horizont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9" fontId="0" fillId="0" borderId="6" xfId="3" applyFont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2" fontId="0" fillId="0" borderId="6" xfId="3" applyNumberFormat="1" applyFont="1" applyBorder="1" applyAlignment="1" applyProtection="1">
      <alignment horizontal="center"/>
      <protection locked="0"/>
    </xf>
    <xf numFmtId="0" fontId="5" fillId="0" borderId="6" xfId="0" quotePrefix="1" applyFont="1" applyBorder="1" applyAlignment="1" applyProtection="1">
      <alignment horizontal="center" wrapText="1"/>
      <protection locked="0"/>
    </xf>
    <xf numFmtId="1" fontId="0" fillId="0" borderId="6" xfId="0" applyNumberFormat="1" applyBorder="1" applyAlignment="1">
      <alignment horizontal="center"/>
    </xf>
    <xf numFmtId="1" fontId="14" fillId="0" borderId="6" xfId="0" applyNumberFormat="1" applyFont="1" applyBorder="1" applyAlignment="1">
      <alignment horizontal="center"/>
    </xf>
    <xf numFmtId="9" fontId="8" fillId="0" borderId="6" xfId="3" applyFont="1" applyBorder="1" applyAlignment="1" applyProtection="1">
      <alignment horizontal="center"/>
      <protection locked="0"/>
    </xf>
    <xf numFmtId="1" fontId="14" fillId="0" borderId="6" xfId="0" applyNumberFormat="1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left" wrapText="1"/>
      <protection locked="0"/>
    </xf>
    <xf numFmtId="9" fontId="14" fillId="0" borderId="6" xfId="3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 wrapText="1"/>
    </xf>
    <xf numFmtId="2" fontId="0" fillId="0" borderId="6" xfId="0" applyNumberFormat="1" applyBorder="1" applyAlignment="1">
      <alignment horizontal="center"/>
    </xf>
    <xf numFmtId="9" fontId="0" fillId="0" borderId="6" xfId="3" applyFont="1" applyBorder="1" applyAlignment="1">
      <alignment horizontal="center"/>
    </xf>
    <xf numFmtId="168" fontId="0" fillId="2" borderId="3" xfId="2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2" fontId="0" fillId="0" borderId="3" xfId="3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167" fontId="0" fillId="3" borderId="3" xfId="2" applyNumberFormat="1" applyFont="1" applyFill="1" applyBorder="1" applyAlignment="1">
      <alignment horizontal="center"/>
    </xf>
    <xf numFmtId="2" fontId="11" fillId="0" borderId="0" xfId="3" applyNumberFormat="1" applyFont="1" applyAlignment="1">
      <alignment horizontal="center"/>
    </xf>
    <xf numFmtId="3" fontId="11" fillId="0" borderId="0" xfId="3" applyNumberFormat="1" applyFont="1" applyAlignment="1">
      <alignment horizontal="center"/>
    </xf>
    <xf numFmtId="169" fontId="11" fillId="0" borderId="0" xfId="3" applyNumberFormat="1" applyFont="1" applyAlignment="1">
      <alignment horizontal="center"/>
    </xf>
    <xf numFmtId="4" fontId="11" fillId="0" borderId="0" xfId="3" applyNumberFormat="1" applyFont="1" applyAlignment="1">
      <alignment horizontal="center"/>
    </xf>
    <xf numFmtId="170" fontId="11" fillId="0" borderId="0" xfId="3" applyNumberFormat="1" applyFont="1" applyAlignment="1">
      <alignment horizontal="center"/>
    </xf>
    <xf numFmtId="170" fontId="11" fillId="0" borderId="0" xfId="2" applyNumberFormat="1" applyFont="1" applyAlignment="1">
      <alignment horizontal="center"/>
    </xf>
    <xf numFmtId="39" fontId="0" fillId="0" borderId="0" xfId="0" applyNumberFormat="1" applyAlignment="1">
      <alignment horizontal="center"/>
    </xf>
    <xf numFmtId="39" fontId="10" fillId="2" borderId="4" xfId="0" applyNumberFormat="1" applyFont="1" applyFill="1" applyBorder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170" fontId="15" fillId="0" borderId="0" xfId="2" applyNumberFormat="1" applyFont="1" applyAlignment="1">
      <alignment horizontal="center"/>
    </xf>
    <xf numFmtId="164" fontId="8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1" fontId="13" fillId="0" borderId="0" xfId="0" applyNumberFormat="1" applyFont="1"/>
    <xf numFmtId="164" fontId="0" fillId="0" borderId="6" xfId="0" applyNumberForma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" fillId="0" borderId="3" xfId="0" applyFont="1" applyBorder="1" applyAlignment="1">
      <alignment horizontal="center"/>
    </xf>
    <xf numFmtId="1" fontId="9" fillId="0" borderId="6" xfId="0" applyNumberFormat="1" applyFont="1" applyBorder="1" applyAlignment="1" applyProtection="1">
      <alignment horizontal="center"/>
      <protection locked="0"/>
    </xf>
    <xf numFmtId="1" fontId="6" fillId="0" borderId="6" xfId="0" applyNumberFormat="1" applyFont="1" applyBorder="1" applyAlignment="1">
      <alignment horizontal="center"/>
    </xf>
    <xf numFmtId="1" fontId="16" fillId="0" borderId="6" xfId="0" applyNumberFormat="1" applyFont="1" applyBorder="1" applyAlignment="1" applyProtection="1">
      <alignment horizontal="center"/>
      <protection locked="0"/>
    </xf>
    <xf numFmtId="0" fontId="16" fillId="0" borderId="6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1" fontId="12" fillId="0" borderId="4" xfId="0" applyNumberFormat="1" applyFont="1" applyFill="1" applyBorder="1" applyAlignment="1" applyProtection="1">
      <alignment horizontal="center"/>
      <protection locked="0"/>
    </xf>
    <xf numFmtId="164" fontId="5" fillId="0" borderId="6" xfId="0" quotePrefix="1" applyNumberFormat="1" applyFont="1" applyBorder="1" applyAlignment="1" applyProtection="1">
      <alignment horizontal="center" wrapText="1"/>
      <protection locked="0"/>
    </xf>
    <xf numFmtId="166" fontId="0" fillId="0" borderId="6" xfId="3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Continuous"/>
    </xf>
    <xf numFmtId="0" fontId="6" fillId="0" borderId="1" xfId="0" applyFont="1" applyBorder="1" applyAlignment="1">
      <alignment horizontal="center" wrapText="1"/>
    </xf>
    <xf numFmtId="171" fontId="0" fillId="0" borderId="6" xfId="3" applyNumberFormat="1" applyFont="1" applyBorder="1" applyAlignment="1">
      <alignment horizontal="center"/>
    </xf>
    <xf numFmtId="172" fontId="0" fillId="0" borderId="6" xfId="3" applyNumberFormat="1" applyFont="1" applyBorder="1" applyAlignment="1">
      <alignment horizontal="center"/>
    </xf>
    <xf numFmtId="0" fontId="6" fillId="0" borderId="6" xfId="0" applyFont="1" applyFill="1" applyBorder="1" applyAlignment="1" applyProtection="1">
      <alignment horizontal="left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3" xfId="0" applyFont="1" applyBorder="1"/>
    <xf numFmtId="0" fontId="6" fillId="0" borderId="6" xfId="0" applyFont="1" applyBorder="1"/>
    <xf numFmtId="1" fontId="17" fillId="0" borderId="6" xfId="0" applyNumberFormat="1" applyFont="1" applyBorder="1" applyAlignment="1">
      <alignment horizontal="center"/>
    </xf>
    <xf numFmtId="1" fontId="8" fillId="0" borderId="6" xfId="0" applyNumberFormat="1" applyFont="1" applyBorder="1" applyAlignment="1" applyProtection="1">
      <alignment horizontal="center"/>
      <protection locked="0"/>
    </xf>
    <xf numFmtId="0" fontId="18" fillId="0" borderId="6" xfId="0" applyFont="1" applyBorder="1" applyAlignment="1" applyProtection="1">
      <alignment horizontal="left" wrapText="1"/>
      <protection locked="0"/>
    </xf>
    <xf numFmtId="1" fontId="17" fillId="0" borderId="6" xfId="0" applyNumberFormat="1" applyFont="1" applyBorder="1" applyAlignment="1" applyProtection="1">
      <alignment horizontal="center"/>
      <protection locked="0"/>
    </xf>
    <xf numFmtId="2" fontId="6" fillId="0" borderId="0" xfId="0" applyNumberFormat="1" applyFont="1" applyAlignment="1">
      <alignment horizontal="left"/>
    </xf>
    <xf numFmtId="2" fontId="6" fillId="0" borderId="0" xfId="0" applyNumberFormat="1" applyFont="1"/>
    <xf numFmtId="0" fontId="6" fillId="0" borderId="0" xfId="0" quotePrefix="1" applyFont="1" applyAlignment="1">
      <alignment horizontal="left"/>
    </xf>
    <xf numFmtId="164" fontId="6" fillId="0" borderId="0" xfId="0" quotePrefix="1" applyNumberFormat="1" applyFont="1" applyBorder="1" applyAlignment="1">
      <alignment horizontal="left"/>
    </xf>
    <xf numFmtId="2" fontId="6" fillId="0" borderId="0" xfId="0" quotePrefix="1" applyNumberFormat="1" applyFont="1"/>
    <xf numFmtId="2" fontId="6" fillId="0" borderId="0" xfId="0" quotePrefix="1" applyNumberFormat="1" applyFont="1" applyAlignment="1">
      <alignment horizontal="left"/>
    </xf>
    <xf numFmtId="0" fontId="6" fillId="0" borderId="0" xfId="0" applyFont="1" applyAlignment="1">
      <alignment horizontal="left"/>
    </xf>
    <xf numFmtId="2" fontId="6" fillId="0" borderId="0" xfId="3" applyNumberFormat="1" applyFont="1" applyAlignment="1">
      <alignment horizontal="center"/>
    </xf>
    <xf numFmtId="9" fontId="11" fillId="0" borderId="0" xfId="0" applyNumberFormat="1" applyFont="1" applyAlignment="1">
      <alignment horizontal="center"/>
    </xf>
    <xf numFmtId="173" fontId="0" fillId="0" borderId="0" xfId="0" applyNumberFormat="1"/>
    <xf numFmtId="164" fontId="6" fillId="0" borderId="0" xfId="0" quotePrefix="1" applyNumberFormat="1" applyFont="1" applyAlignment="1">
      <alignment horizontal="left"/>
    </xf>
    <xf numFmtId="165" fontId="6" fillId="0" borderId="0" xfId="0" applyNumberFormat="1" applyFont="1"/>
    <xf numFmtId="1" fontId="11" fillId="0" borderId="0" xfId="3" applyNumberFormat="1" applyFont="1" applyAlignment="1">
      <alignment horizontal="center"/>
    </xf>
    <xf numFmtId="0" fontId="6" fillId="0" borderId="0" xfId="0" quotePrefix="1" applyFont="1"/>
    <xf numFmtId="164" fontId="6" fillId="0" borderId="0" xfId="0" applyNumberFormat="1" applyFont="1" applyAlignment="1">
      <alignment horizontal="left"/>
    </xf>
    <xf numFmtId="0" fontId="0" fillId="0" borderId="0" xfId="0" applyFill="1"/>
    <xf numFmtId="0" fontId="6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6" fillId="0" borderId="0" xfId="0" applyFont="1" applyFill="1" applyBorder="1" applyAlignment="1" applyProtection="1">
      <alignment horizontal="left" wrapText="1"/>
      <protection locked="0"/>
    </xf>
    <xf numFmtId="0" fontId="0" fillId="0" borderId="4" xfId="0" applyBorder="1"/>
    <xf numFmtId="0" fontId="6" fillId="0" borderId="4" xfId="0" applyFont="1" applyBorder="1"/>
    <xf numFmtId="164" fontId="11" fillId="0" borderId="0" xfId="3" applyNumberFormat="1" applyFont="1" applyAlignment="1">
      <alignment horizontal="center"/>
    </xf>
    <xf numFmtId="1" fontId="8" fillId="0" borderId="3" xfId="0" applyNumberFormat="1" applyFont="1" applyBorder="1" applyAlignment="1" applyProtection="1">
      <alignment horizontal="center"/>
      <protection locked="0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0" fontId="6" fillId="0" borderId="0" xfId="0" applyFont="1"/>
    <xf numFmtId="0" fontId="21" fillId="0" borderId="0" xfId="8" applyFont="1"/>
    <xf numFmtId="0" fontId="21" fillId="0" borderId="3" xfId="8" applyFont="1" applyBorder="1"/>
    <xf numFmtId="0" fontId="21" fillId="5" borderId="0" xfId="8" applyFont="1" applyFill="1"/>
    <xf numFmtId="0" fontId="21" fillId="0" borderId="0" xfId="8" applyFont="1" applyAlignment="1">
      <alignment horizontal="left"/>
    </xf>
    <xf numFmtId="0" fontId="21" fillId="0" borderId="0" xfId="8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164" fontId="0" fillId="0" borderId="0" xfId="0" applyNumberFormat="1"/>
    <xf numFmtId="2" fontId="0" fillId="0" borderId="3" xfId="0" applyNumberFormat="1" applyBorder="1"/>
    <xf numFmtId="173" fontId="0" fillId="0" borderId="3" xfId="0" applyNumberFormat="1" applyBorder="1"/>
    <xf numFmtId="0" fontId="17" fillId="0" borderId="0" xfId="0" applyFont="1"/>
    <xf numFmtId="0" fontId="0" fillId="0" borderId="0" xfId="0" quotePrefix="1" applyFont="1"/>
    <xf numFmtId="0" fontId="0" fillId="5" borderId="0" xfId="0" applyFill="1"/>
    <xf numFmtId="9" fontId="0" fillId="0" borderId="0" xfId="3" applyFont="1"/>
    <xf numFmtId="0" fontId="6" fillId="0" borderId="0" xfId="0" applyFont="1"/>
    <xf numFmtId="2" fontId="16" fillId="0" borderId="0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6" fillId="0" borderId="0" xfId="0" applyFont="1"/>
    <xf numFmtId="0" fontId="17" fillId="0" borderId="6" xfId="0" applyFont="1" applyFill="1" applyBorder="1" applyAlignment="1" applyProtection="1">
      <alignment horizontal="left" wrapText="1"/>
      <protection locked="0"/>
    </xf>
    <xf numFmtId="9" fontId="0" fillId="0" borderId="3" xfId="3" applyFont="1" applyBorder="1" applyAlignment="1" applyProtection="1">
      <alignment horizontal="center"/>
      <protection locked="0"/>
    </xf>
    <xf numFmtId="9" fontId="16" fillId="0" borderId="6" xfId="3" applyFont="1" applyBorder="1" applyAlignment="1" applyProtection="1">
      <alignment horizontal="center"/>
      <protection locked="0"/>
    </xf>
    <xf numFmtId="9" fontId="0" fillId="0" borderId="0" xfId="3" applyFont="1" applyFill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left" wrapText="1"/>
      <protection locked="0"/>
    </xf>
    <xf numFmtId="0" fontId="0" fillId="0" borderId="8" xfId="0" applyBorder="1" applyAlignment="1">
      <alignment horizontal="center"/>
    </xf>
    <xf numFmtId="173" fontId="0" fillId="0" borderId="9" xfId="0" applyNumberFormat="1" applyBorder="1"/>
    <xf numFmtId="168" fontId="0" fillId="2" borderId="8" xfId="2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0" borderId="8" xfId="3" applyNumberFormat="1" applyFont="1" applyBorder="1" applyAlignment="1" applyProtection="1">
      <alignment horizontal="center"/>
      <protection locked="0"/>
    </xf>
    <xf numFmtId="0" fontId="26" fillId="0" borderId="0" xfId="0" applyFont="1"/>
    <xf numFmtId="0" fontId="21" fillId="6" borderId="0" xfId="8" applyFont="1" applyFill="1"/>
    <xf numFmtId="0" fontId="21" fillId="6" borderId="0" xfId="8" applyFont="1" applyFill="1" applyBorder="1"/>
    <xf numFmtId="0" fontId="21" fillId="6" borderId="0" xfId="8" applyFont="1" applyFill="1" applyBorder="1" applyAlignment="1">
      <alignment wrapText="1"/>
    </xf>
    <xf numFmtId="0" fontId="0" fillId="0" borderId="0" xfId="0" applyFont="1"/>
    <xf numFmtId="39" fontId="0" fillId="0" borderId="0" xfId="0" applyNumberFormat="1"/>
    <xf numFmtId="0" fontId="17" fillId="0" borderId="0" xfId="0" applyFont="1" applyFill="1"/>
    <xf numFmtId="0" fontId="6" fillId="0" borderId="0" xfId="0" applyFont="1"/>
    <xf numFmtId="2" fontId="16" fillId="0" borderId="0" xfId="0" applyNumberFormat="1" applyFont="1" applyBorder="1" applyAlignment="1" applyProtection="1">
      <alignment horizontal="center"/>
      <protection locked="0"/>
    </xf>
    <xf numFmtId="2" fontId="6" fillId="0" borderId="0" xfId="0" applyNumberFormat="1" applyFont="1" applyBorder="1" applyAlignment="1" applyProtection="1">
      <alignment horizontal="center"/>
      <protection locked="0"/>
    </xf>
    <xf numFmtId="2" fontId="8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0" fillId="2" borderId="8" xfId="0" applyFill="1" applyBorder="1" applyAlignment="1">
      <alignment horizontal="centerContinuous"/>
    </xf>
    <xf numFmtId="0" fontId="0" fillId="2" borderId="0" xfId="0" applyFill="1" applyBorder="1" applyAlignment="1">
      <alignment horizontal="centerContinuous"/>
    </xf>
    <xf numFmtId="1" fontId="0" fillId="0" borderId="0" xfId="0" applyNumberFormat="1" applyBorder="1"/>
    <xf numFmtId="1" fontId="0" fillId="0" borderId="0" xfId="3" applyNumberFormat="1" applyFont="1" applyBorder="1" applyAlignment="1">
      <alignment horizontal="center"/>
    </xf>
    <xf numFmtId="1" fontId="0" fillId="0" borderId="0" xfId="3" applyNumberFormat="1" applyFont="1" applyBorder="1" applyAlignment="1" applyProtection="1">
      <alignment horizontal="center"/>
      <protection locked="0"/>
    </xf>
    <xf numFmtId="1" fontId="16" fillId="0" borderId="0" xfId="0" applyNumberFormat="1" applyFont="1" applyBorder="1" applyAlignment="1">
      <alignment horizontal="center"/>
    </xf>
    <xf numFmtId="9" fontId="8" fillId="0" borderId="0" xfId="3" applyNumberFormat="1" applyFont="1" applyBorder="1" applyAlignment="1">
      <alignment horizontal="center"/>
    </xf>
    <xf numFmtId="9" fontId="0" fillId="0" borderId="0" xfId="3" applyNumberFormat="1" applyFont="1" applyBorder="1" applyAlignment="1">
      <alignment horizontal="center"/>
    </xf>
    <xf numFmtId="9" fontId="0" fillId="0" borderId="0" xfId="3" applyNumberFormat="1" applyFont="1" applyBorder="1" applyAlignment="1" applyProtection="1">
      <alignment horizontal="center"/>
      <protection locked="0"/>
    </xf>
    <xf numFmtId="2" fontId="0" fillId="0" borderId="0" xfId="3" applyNumberFormat="1" applyFont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wrapText="1"/>
    </xf>
    <xf numFmtId="166" fontId="0" fillId="0" borderId="0" xfId="3" applyNumberFormat="1" applyFont="1"/>
    <xf numFmtId="0" fontId="6" fillId="0" borderId="0" xfId="0" applyFont="1"/>
    <xf numFmtId="0" fontId="18" fillId="0" borderId="0" xfId="0" applyFont="1" applyFill="1" applyBorder="1" applyAlignment="1" applyProtection="1">
      <alignment horizontal="left" wrapText="1"/>
      <protection locked="0"/>
    </xf>
    <xf numFmtId="0" fontId="18" fillId="0" borderId="6" xfId="0" applyFont="1" applyFill="1" applyBorder="1" applyAlignment="1" applyProtection="1">
      <alignment horizontal="left" wrapText="1"/>
      <protection locked="0"/>
    </xf>
    <xf numFmtId="0" fontId="16" fillId="0" borderId="6" xfId="0" applyFont="1" applyFill="1" applyBorder="1" applyAlignment="1">
      <alignment horizontal="center"/>
    </xf>
    <xf numFmtId="2" fontId="0" fillId="0" borderId="6" xfId="3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/>
    <xf numFmtId="0" fontId="0" fillId="0" borderId="6" xfId="0" applyFill="1" applyBorder="1" applyAlignment="1">
      <alignment horizontal="center"/>
    </xf>
    <xf numFmtId="173" fontId="0" fillId="0" borderId="0" xfId="0" applyNumberFormat="1" applyFill="1"/>
    <xf numFmtId="0" fontId="5" fillId="0" borderId="6" xfId="0" applyFont="1" applyFill="1" applyBorder="1" applyAlignment="1" applyProtection="1">
      <alignment horizontal="center" wrapText="1"/>
      <protection locked="0"/>
    </xf>
    <xf numFmtId="9" fontId="0" fillId="0" borderId="6" xfId="3" applyFont="1" applyFill="1" applyBorder="1" applyAlignment="1" applyProtection="1">
      <alignment horizontal="center"/>
      <protection locked="0"/>
    </xf>
    <xf numFmtId="9" fontId="0" fillId="0" borderId="6" xfId="3" applyFont="1" applyFill="1" applyBorder="1" applyAlignment="1">
      <alignment horizontal="center"/>
    </xf>
    <xf numFmtId="9" fontId="0" fillId="0" borderId="0" xfId="3" applyFont="1" applyFill="1"/>
    <xf numFmtId="166" fontId="0" fillId="0" borderId="0" xfId="3" applyNumberFormat="1" applyFont="1" applyFill="1"/>
    <xf numFmtId="0" fontId="0" fillId="0" borderId="0" xfId="0" applyFill="1" applyAlignment="1">
      <alignment horizontal="left"/>
    </xf>
    <xf numFmtId="164" fontId="0" fillId="0" borderId="0" xfId="0" applyNumberFormat="1" applyFill="1"/>
    <xf numFmtId="1" fontId="8" fillId="0" borderId="6" xfId="0" applyNumberFormat="1" applyFont="1" applyFill="1" applyBorder="1" applyAlignment="1" applyProtection="1">
      <alignment horizontal="center"/>
      <protection locked="0"/>
    </xf>
    <xf numFmtId="0" fontId="16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" fontId="14" fillId="0" borderId="10" xfId="0" applyNumberFormat="1" applyFon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16" fillId="0" borderId="10" xfId="0" applyFont="1" applyBorder="1" applyAlignment="1">
      <alignment horizontal="center"/>
    </xf>
    <xf numFmtId="1" fontId="8" fillId="0" borderId="0" xfId="0" applyNumberFormat="1" applyFont="1" applyBorder="1" applyAlignment="1" applyProtection="1">
      <alignment horizontal="center"/>
      <protection locked="0"/>
    </xf>
    <xf numFmtId="1" fontId="17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1" fontId="17" fillId="0" borderId="0" xfId="0" applyNumberFormat="1" applyFont="1" applyFill="1" applyBorder="1" applyAlignment="1">
      <alignment horizontal="center"/>
    </xf>
    <xf numFmtId="1" fontId="14" fillId="0" borderId="0" xfId="0" applyNumberFormat="1" applyFont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0" fontId="16" fillId="0" borderId="0" xfId="0" applyFont="1" applyBorder="1" applyAlignment="1">
      <alignment horizontal="center"/>
    </xf>
    <xf numFmtId="1" fontId="17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8" fillId="0" borderId="0" xfId="0" applyNumberFormat="1" applyFont="1" applyBorder="1" applyAlignment="1">
      <alignment horizontal="center"/>
    </xf>
    <xf numFmtId="1" fontId="16" fillId="0" borderId="0" xfId="0" applyNumberFormat="1" applyFont="1" applyBorder="1" applyAlignment="1" applyProtection="1">
      <alignment horizontal="center"/>
      <protection locked="0"/>
    </xf>
    <xf numFmtId="164" fontId="16" fillId="0" borderId="0" xfId="0" applyNumberFormat="1" applyFont="1" applyBorder="1" applyAlignment="1">
      <alignment horizontal="center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16" fillId="0" borderId="10" xfId="0" applyNumberFormat="1" applyFont="1" applyBorder="1" applyAlignment="1" applyProtection="1">
      <alignment horizontal="center"/>
      <protection locked="0"/>
    </xf>
    <xf numFmtId="2" fontId="0" fillId="0" borderId="0" xfId="0" applyNumberFormat="1" applyBorder="1"/>
    <xf numFmtId="0" fontId="0" fillId="0" borderId="0" xfId="0" applyBorder="1" applyAlignment="1" applyProtection="1">
      <alignment horizontal="center"/>
      <protection locked="0"/>
    </xf>
    <xf numFmtId="1" fontId="16" fillId="0" borderId="10" xfId="0" applyNumberFormat="1" applyFont="1" applyBorder="1" applyAlignment="1">
      <alignment horizontal="center"/>
    </xf>
    <xf numFmtId="9" fontId="16" fillId="0" borderId="0" xfId="0" applyNumberFormat="1" applyFont="1" applyBorder="1" applyAlignment="1">
      <alignment horizontal="center"/>
    </xf>
    <xf numFmtId="1" fontId="17" fillId="0" borderId="0" xfId="3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1" fontId="6" fillId="0" borderId="0" xfId="3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0" xfId="0" applyNumberFormat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"/>
    </xf>
    <xf numFmtId="164" fontId="16" fillId="0" borderId="0" xfId="0" applyNumberFormat="1" applyFont="1" applyBorder="1" applyAlignment="1" applyProtection="1">
      <alignment horizontal="center"/>
      <protection locked="0"/>
    </xf>
    <xf numFmtId="173" fontId="0" fillId="0" borderId="0" xfId="0" applyNumberFormat="1" applyBorder="1"/>
    <xf numFmtId="0" fontId="0" fillId="0" borderId="9" xfId="0" applyBorder="1"/>
    <xf numFmtId="0" fontId="0" fillId="0" borderId="8" xfId="0" applyBorder="1"/>
    <xf numFmtId="1" fontId="17" fillId="0" borderId="8" xfId="0" applyNumberFormat="1" applyFont="1" applyBorder="1" applyAlignment="1">
      <alignment horizontal="center"/>
    </xf>
    <xf numFmtId="9" fontId="0" fillId="0" borderId="8" xfId="3" applyFont="1" applyBorder="1" applyAlignment="1" applyProtection="1">
      <alignment horizontal="center"/>
      <protection locked="0"/>
    </xf>
    <xf numFmtId="9" fontId="0" fillId="0" borderId="8" xfId="3" applyFont="1" applyBorder="1" applyAlignment="1">
      <alignment horizontal="center"/>
    </xf>
    <xf numFmtId="9" fontId="0" fillId="0" borderId="9" xfId="3" applyFont="1" applyBorder="1"/>
    <xf numFmtId="166" fontId="0" fillId="0" borderId="9" xfId="3" applyNumberFormat="1" applyFont="1" applyBorder="1"/>
    <xf numFmtId="0" fontId="5" fillId="0" borderId="0" xfId="0" applyFont="1" applyBorder="1" applyAlignment="1" applyProtection="1">
      <alignment horizontal="center" wrapText="1"/>
      <protection locked="0"/>
    </xf>
    <xf numFmtId="167" fontId="0" fillId="3" borderId="0" xfId="2" applyNumberFormat="1" applyFont="1" applyFill="1" applyBorder="1" applyAlignment="1">
      <alignment horizontal="center"/>
    </xf>
    <xf numFmtId="168" fontId="0" fillId="2" borderId="0" xfId="2" applyNumberFormat="1" applyFont="1" applyFill="1" applyBorder="1" applyAlignment="1" applyProtection="1">
      <alignment horizontal="center"/>
      <protection locked="0"/>
    </xf>
    <xf numFmtId="9" fontId="0" fillId="0" borderId="0" xfId="3" applyFont="1" applyBorder="1" applyAlignment="1" applyProtection="1">
      <alignment horizontal="center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9" fontId="16" fillId="0" borderId="0" xfId="3" applyFont="1" applyBorder="1" applyAlignment="1">
      <alignment horizontal="center"/>
    </xf>
    <xf numFmtId="9" fontId="0" fillId="0" borderId="0" xfId="3" applyFont="1" applyBorder="1" applyAlignment="1">
      <alignment horizontal="center"/>
    </xf>
    <xf numFmtId="9" fontId="0" fillId="0" borderId="0" xfId="3" applyFont="1" applyBorder="1"/>
    <xf numFmtId="166" fontId="0" fillId="0" borderId="0" xfId="3" applyNumberFormat="1" applyFont="1" applyBorder="1"/>
    <xf numFmtId="164" fontId="0" fillId="0" borderId="0" xfId="0" applyNumberFormat="1" applyBorder="1" applyAlignment="1">
      <alignment horizontal="center"/>
    </xf>
    <xf numFmtId="0" fontId="14" fillId="0" borderId="0" xfId="0" applyFont="1" applyBorder="1" applyAlignment="1">
      <alignment horizontal="center"/>
    </xf>
    <xf numFmtId="10" fontId="0" fillId="0" borderId="0" xfId="3" applyNumberFormat="1" applyFont="1" applyBorder="1" applyAlignment="1">
      <alignment horizontal="center"/>
    </xf>
    <xf numFmtId="171" fontId="0" fillId="0" borderId="0" xfId="3" applyNumberFormat="1" applyFont="1" applyBorder="1" applyAlignment="1">
      <alignment horizontal="center"/>
    </xf>
    <xf numFmtId="172" fontId="0" fillId="0" borderId="0" xfId="3" applyNumberFormat="1" applyFont="1" applyBorder="1" applyAlignment="1">
      <alignment horizontal="center"/>
    </xf>
    <xf numFmtId="9" fontId="8" fillId="0" borderId="0" xfId="3" applyFont="1" applyBorder="1" applyAlignment="1" applyProtection="1">
      <alignment horizontal="center"/>
      <protection locked="0"/>
    </xf>
    <xf numFmtId="175" fontId="16" fillId="0" borderId="0" xfId="1" applyNumberFormat="1" applyFont="1" applyBorder="1" applyAlignment="1">
      <alignment horizontal="center"/>
    </xf>
    <xf numFmtId="9" fontId="16" fillId="0" borderId="0" xfId="3" applyFont="1" applyBorder="1" applyAlignment="1" applyProtection="1">
      <alignment horizontal="center"/>
      <protection locked="0"/>
    </xf>
    <xf numFmtId="166" fontId="0" fillId="0" borderId="0" xfId="3" applyNumberFormat="1" applyFont="1" applyBorder="1" applyAlignment="1">
      <alignment horizontal="center"/>
    </xf>
    <xf numFmtId="9" fontId="0" fillId="0" borderId="0" xfId="0" applyNumberFormat="1" applyBorder="1" applyAlignment="1" applyProtection="1">
      <alignment horizontal="center"/>
      <protection locked="0"/>
    </xf>
    <xf numFmtId="9" fontId="16" fillId="0" borderId="0" xfId="3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174" fontId="4" fillId="0" borderId="0" xfId="5" applyNumberFormat="1" applyBorder="1" applyAlignment="1">
      <alignment horizontal="center"/>
    </xf>
    <xf numFmtId="173" fontId="4" fillId="0" borderId="0" xfId="5" applyNumberFormat="1" applyBorder="1" applyAlignment="1">
      <alignment horizontal="center"/>
    </xf>
    <xf numFmtId="9" fontId="0" fillId="0" borderId="8" xfId="3" applyFont="1" applyBorder="1"/>
    <xf numFmtId="166" fontId="0" fillId="0" borderId="8" xfId="3" applyNumberFormat="1" applyFont="1" applyBorder="1"/>
    <xf numFmtId="0" fontId="6" fillId="0" borderId="0" xfId="0" applyFont="1"/>
    <xf numFmtId="164" fontId="14" fillId="0" borderId="0" xfId="0" applyNumberFormat="1" applyFont="1" applyBorder="1" applyAlignment="1" applyProtection="1">
      <alignment horizontal="center"/>
      <protection locked="0"/>
    </xf>
    <xf numFmtId="2" fontId="14" fillId="0" borderId="0" xfId="0" applyNumberFormat="1" applyFont="1" applyBorder="1" applyAlignment="1" applyProtection="1">
      <alignment horizontal="center"/>
      <protection locked="0"/>
    </xf>
    <xf numFmtId="2" fontId="0" fillId="0" borderId="0" xfId="0" applyNumberFormat="1" applyAlignment="1">
      <alignment horizontal="right"/>
    </xf>
    <xf numFmtId="2" fontId="0" fillId="0" borderId="0" xfId="0" applyNumberFormat="1" applyBorder="1" applyAlignment="1">
      <alignment horizontal="right"/>
    </xf>
    <xf numFmtId="2" fontId="16" fillId="0" borderId="0" xfId="0" applyNumberFormat="1" applyFont="1" applyBorder="1" applyAlignment="1" applyProtection="1">
      <alignment horizontal="right"/>
      <protection locked="0"/>
    </xf>
    <xf numFmtId="2" fontId="0" fillId="0" borderId="0" xfId="0" applyNumberFormat="1" applyBorder="1" applyAlignment="1" applyProtection="1">
      <alignment horizontal="right"/>
      <protection locked="0"/>
    </xf>
    <xf numFmtId="2" fontId="16" fillId="0" borderId="0" xfId="0" applyNumberFormat="1" applyFont="1" applyFill="1" applyBorder="1" applyAlignment="1" applyProtection="1">
      <alignment horizontal="right"/>
      <protection locked="0"/>
    </xf>
    <xf numFmtId="2" fontId="14" fillId="0" borderId="0" xfId="0" applyNumberFormat="1" applyFont="1" applyBorder="1" applyAlignment="1" applyProtection="1">
      <alignment horizontal="right"/>
      <protection locked="0"/>
    </xf>
    <xf numFmtId="2" fontId="16" fillId="0" borderId="0" xfId="0" applyNumberFormat="1" applyFont="1" applyBorder="1" applyAlignment="1">
      <alignment horizontal="right"/>
    </xf>
    <xf numFmtId="1" fontId="14" fillId="0" borderId="0" xfId="0" applyNumberFormat="1" applyFont="1" applyBorder="1" applyAlignment="1" applyProtection="1">
      <alignment horizontal="right"/>
      <protection locked="0"/>
    </xf>
    <xf numFmtId="1" fontId="0" fillId="0" borderId="0" xfId="0" applyNumberFormat="1" applyBorder="1" applyAlignment="1">
      <alignment horizontal="right"/>
    </xf>
    <xf numFmtId="1" fontId="16" fillId="0" borderId="0" xfId="0" applyNumberFormat="1" applyFont="1" applyFill="1" applyBorder="1" applyAlignment="1" applyProtection="1">
      <alignment horizontal="right"/>
      <protection locked="0"/>
    </xf>
    <xf numFmtId="1" fontId="16" fillId="0" borderId="0" xfId="0" applyNumberFormat="1" applyFont="1" applyBorder="1" applyAlignment="1">
      <alignment horizontal="right"/>
    </xf>
    <xf numFmtId="1" fontId="0" fillId="0" borderId="0" xfId="3" applyNumberFormat="1" applyFont="1" applyBorder="1" applyAlignment="1" applyProtection="1">
      <alignment horizontal="right"/>
      <protection locked="0"/>
    </xf>
    <xf numFmtId="1" fontId="0" fillId="0" borderId="0" xfId="0" applyNumberFormat="1" applyAlignment="1">
      <alignment horizontal="right"/>
    </xf>
    <xf numFmtId="1" fontId="0" fillId="0" borderId="0" xfId="1" applyNumberFormat="1" applyFont="1" applyBorder="1" applyAlignment="1" applyProtection="1">
      <alignment horizontal="right"/>
      <protection locked="0"/>
    </xf>
    <xf numFmtId="1" fontId="17" fillId="0" borderId="0" xfId="1" applyNumberFormat="1" applyFont="1" applyBorder="1" applyAlignment="1">
      <alignment horizontal="right"/>
    </xf>
    <xf numFmtId="0" fontId="0" fillId="0" borderId="0" xfId="0" applyAlignment="1"/>
    <xf numFmtId="0" fontId="0" fillId="0" borderId="0" xfId="0" applyBorder="1" applyAlignment="1"/>
    <xf numFmtId="1" fontId="14" fillId="0" borderId="0" xfId="0" applyNumberFormat="1" applyFont="1" applyBorder="1" applyAlignment="1" applyProtection="1">
      <protection locked="0"/>
    </xf>
    <xf numFmtId="164" fontId="0" fillId="0" borderId="0" xfId="0" applyNumberFormat="1" applyAlignment="1"/>
    <xf numFmtId="164" fontId="14" fillId="0" borderId="0" xfId="0" applyNumberFormat="1" applyFont="1" applyBorder="1" applyAlignment="1" applyProtection="1">
      <protection locked="0"/>
    </xf>
    <xf numFmtId="164" fontId="17" fillId="0" borderId="0" xfId="0" applyNumberFormat="1" applyFont="1"/>
    <xf numFmtId="164" fontId="8" fillId="0" borderId="0" xfId="0" applyNumberFormat="1" applyFont="1" applyBorder="1" applyAlignment="1">
      <alignment horizontal="center"/>
    </xf>
    <xf numFmtId="166" fontId="0" fillId="0" borderId="0" xfId="3" applyNumberFormat="1" applyFont="1" applyBorder="1" applyAlignment="1">
      <alignment horizontal="right"/>
    </xf>
    <xf numFmtId="1" fontId="26" fillId="0" borderId="0" xfId="0" applyNumberFormat="1" applyFont="1" applyFill="1" applyBorder="1" applyAlignment="1">
      <alignment horizontal="right"/>
    </xf>
    <xf numFmtId="1" fontId="26" fillId="0" borderId="0" xfId="3" applyNumberFormat="1" applyFont="1" applyFill="1" applyBorder="1" applyAlignment="1" applyProtection="1">
      <alignment horizontal="right"/>
      <protection locked="0"/>
    </xf>
    <xf numFmtId="0" fontId="26" fillId="0" borderId="0" xfId="0" applyFont="1" applyFill="1" applyBorder="1"/>
    <xf numFmtId="2" fontId="26" fillId="0" borderId="0" xfId="0" applyNumberFormat="1" applyFont="1" applyFill="1" applyBorder="1" applyAlignment="1" applyProtection="1">
      <alignment horizontal="right"/>
      <protection locked="0"/>
    </xf>
    <xf numFmtId="2" fontId="26" fillId="0" borderId="0" xfId="0" applyNumberFormat="1" applyFont="1" applyFill="1" applyBorder="1" applyAlignment="1">
      <alignment horizontal="right"/>
    </xf>
    <xf numFmtId="1" fontId="26" fillId="0" borderId="0" xfId="0" applyNumberFormat="1" applyFont="1" applyFill="1" applyAlignment="1">
      <alignment horizontal="right"/>
    </xf>
    <xf numFmtId="0" fontId="26" fillId="0" borderId="0" xfId="0" applyFont="1" applyFill="1"/>
    <xf numFmtId="1" fontId="26" fillId="0" borderId="0" xfId="0" applyNumberFormat="1" applyFont="1" applyBorder="1" applyAlignment="1" applyProtection="1">
      <alignment horizontal="center"/>
      <protection locked="0"/>
    </xf>
    <xf numFmtId="0" fontId="26" fillId="0" borderId="0" xfId="0" applyFont="1" applyBorder="1"/>
    <xf numFmtId="164" fontId="26" fillId="0" borderId="0" xfId="0" applyNumberFormat="1" applyFont="1" applyBorder="1"/>
    <xf numFmtId="164" fontId="26" fillId="0" borderId="0" xfId="0" applyNumberFormat="1" applyFont="1" applyBorder="1" applyAlignment="1" applyProtection="1">
      <alignment horizontal="center"/>
      <protection locked="0"/>
    </xf>
    <xf numFmtId="164" fontId="26" fillId="0" borderId="0" xfId="0" applyNumberFormat="1" applyFont="1" applyBorder="1" applyAlignment="1">
      <alignment horizontal="center"/>
    </xf>
    <xf numFmtId="0" fontId="26" fillId="0" borderId="0" xfId="0" applyFont="1" applyBorder="1" applyAlignment="1" applyProtection="1">
      <alignment horizontal="center"/>
      <protection locked="0"/>
    </xf>
    <xf numFmtId="1" fontId="26" fillId="0" borderId="0" xfId="0" applyNumberFormat="1" applyFont="1" applyBorder="1" applyAlignment="1">
      <alignment horizontal="right"/>
    </xf>
    <xf numFmtId="1" fontId="26" fillId="0" borderId="0" xfId="3" applyNumberFormat="1" applyFont="1" applyBorder="1" applyAlignment="1" applyProtection="1">
      <alignment horizontal="right"/>
      <protection locked="0"/>
    </xf>
    <xf numFmtId="2" fontId="26" fillId="0" borderId="0" xfId="0" applyNumberFormat="1" applyFont="1" applyBorder="1" applyAlignment="1" applyProtection="1">
      <alignment horizontal="right"/>
      <protection locked="0"/>
    </xf>
    <xf numFmtId="2" fontId="26" fillId="0" borderId="0" xfId="0" applyNumberFormat="1" applyFont="1" applyBorder="1" applyAlignment="1">
      <alignment horizontal="right"/>
    </xf>
    <xf numFmtId="2" fontId="26" fillId="0" borderId="0" xfId="0" applyNumberFormat="1" applyFont="1" applyAlignment="1">
      <alignment horizontal="right"/>
    </xf>
    <xf numFmtId="0" fontId="26" fillId="0" borderId="0" xfId="0" applyFont="1" applyAlignment="1"/>
    <xf numFmtId="164" fontId="26" fillId="0" borderId="0" xfId="0" applyNumberFormat="1" applyFont="1" applyAlignment="1"/>
    <xf numFmtId="164" fontId="26" fillId="0" borderId="0" xfId="0" applyNumberFormat="1" applyFont="1"/>
    <xf numFmtId="2" fontId="26" fillId="0" borderId="0" xfId="0" applyNumberFormat="1" applyFont="1" applyBorder="1"/>
    <xf numFmtId="2" fontId="26" fillId="0" borderId="0" xfId="0" applyNumberFormat="1" applyFont="1"/>
    <xf numFmtId="0" fontId="27" fillId="0" borderId="0" xfId="0" applyFont="1" applyBorder="1" applyAlignment="1" applyProtection="1">
      <alignment horizontal="center" wrapText="1"/>
      <protection locked="0"/>
    </xf>
    <xf numFmtId="167" fontId="26" fillId="3" borderId="0" xfId="2" applyNumberFormat="1" applyFont="1" applyFill="1" applyBorder="1" applyAlignment="1">
      <alignment horizontal="center"/>
    </xf>
    <xf numFmtId="168" fontId="26" fillId="2" borderId="0" xfId="2" applyNumberFormat="1" applyFont="1" applyFill="1" applyBorder="1" applyAlignment="1" applyProtection="1">
      <alignment horizontal="center"/>
      <protection locked="0"/>
    </xf>
    <xf numFmtId="9" fontId="26" fillId="0" borderId="0" xfId="3" applyFont="1" applyBorder="1" applyAlignment="1" applyProtection="1">
      <alignment horizontal="center"/>
      <protection locked="0"/>
    </xf>
    <xf numFmtId="2" fontId="26" fillId="2" borderId="0" xfId="0" applyNumberFormat="1" applyFont="1" applyFill="1" applyBorder="1" applyAlignment="1" applyProtection="1">
      <alignment horizontal="center"/>
      <protection locked="0"/>
    </xf>
    <xf numFmtId="0" fontId="26" fillId="0" borderId="0" xfId="0" applyFont="1" applyBorder="1" applyAlignment="1">
      <alignment horizontal="center"/>
    </xf>
    <xf numFmtId="9" fontId="26" fillId="0" borderId="0" xfId="3" applyFont="1" applyBorder="1" applyAlignment="1">
      <alignment horizontal="center"/>
    </xf>
    <xf numFmtId="2" fontId="26" fillId="0" borderId="0" xfId="3" applyNumberFormat="1" applyFont="1" applyBorder="1" applyAlignment="1" applyProtection="1">
      <alignment horizontal="center"/>
      <protection locked="0"/>
    </xf>
    <xf numFmtId="0" fontId="26" fillId="0" borderId="0" xfId="0" applyFont="1" applyBorder="1" applyAlignment="1"/>
    <xf numFmtId="9" fontId="26" fillId="0" borderId="0" xfId="3" applyFont="1" applyBorder="1"/>
    <xf numFmtId="166" fontId="26" fillId="0" borderId="0" xfId="3" applyNumberFormat="1" applyFont="1" applyBorder="1"/>
    <xf numFmtId="1" fontId="26" fillId="0" borderId="0" xfId="0" applyNumberFormat="1" applyFont="1" applyFill="1" applyBorder="1" applyAlignment="1" applyProtection="1">
      <alignment horizontal="center"/>
      <protection locked="0"/>
    </xf>
    <xf numFmtId="164" fontId="26" fillId="0" borderId="0" xfId="0" applyNumberFormat="1" applyFont="1" applyFill="1" applyBorder="1"/>
    <xf numFmtId="164" fontId="26" fillId="0" borderId="0" xfId="0" applyNumberFormat="1" applyFont="1" applyFill="1" applyBorder="1" applyAlignment="1" applyProtection="1">
      <alignment horizontal="center"/>
      <protection locked="0"/>
    </xf>
    <xf numFmtId="164" fontId="26" fillId="0" borderId="0" xfId="0" applyNumberFormat="1" applyFont="1" applyFill="1" applyBorder="1" applyAlignment="1">
      <alignment horizontal="center"/>
    </xf>
    <xf numFmtId="2" fontId="26" fillId="0" borderId="0" xfId="0" applyNumberFormat="1" applyFont="1" applyFill="1" applyAlignment="1">
      <alignment horizontal="right"/>
    </xf>
    <xf numFmtId="1" fontId="26" fillId="0" borderId="0" xfId="0" applyNumberFormat="1" applyFont="1" applyFill="1" applyBorder="1" applyAlignment="1" applyProtection="1">
      <alignment horizontal="right"/>
      <protection locked="0"/>
    </xf>
    <xf numFmtId="0" fontId="26" fillId="0" borderId="0" xfId="0" applyFont="1" applyFill="1" applyAlignment="1"/>
    <xf numFmtId="164" fontId="26" fillId="0" borderId="0" xfId="0" applyNumberFormat="1" applyFont="1" applyFill="1" applyAlignment="1"/>
    <xf numFmtId="164" fontId="26" fillId="0" borderId="0" xfId="0" applyNumberFormat="1" applyFont="1" applyFill="1"/>
    <xf numFmtId="2" fontId="26" fillId="0" borderId="0" xfId="0" applyNumberFormat="1" applyFont="1" applyFill="1" applyBorder="1"/>
    <xf numFmtId="2" fontId="26" fillId="0" borderId="0" xfId="0" applyNumberFormat="1" applyFont="1" applyFill="1"/>
    <xf numFmtId="0" fontId="27" fillId="0" borderId="0" xfId="0" applyFont="1" applyFill="1" applyBorder="1" applyAlignment="1" applyProtection="1">
      <alignment horizontal="center" wrapText="1"/>
      <protection locked="0"/>
    </xf>
    <xf numFmtId="9" fontId="26" fillId="0" borderId="0" xfId="3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Alignment="1">
      <alignment horizontal="center"/>
    </xf>
    <xf numFmtId="9" fontId="26" fillId="0" borderId="0" xfId="3" applyFont="1" applyFill="1" applyBorder="1" applyAlignment="1">
      <alignment horizontal="center"/>
    </xf>
    <xf numFmtId="2" fontId="26" fillId="0" borderId="0" xfId="3" applyNumberFormat="1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Alignment="1"/>
    <xf numFmtId="9" fontId="26" fillId="0" borderId="0" xfId="3" applyFont="1" applyFill="1" applyBorder="1"/>
    <xf numFmtId="166" fontId="26" fillId="0" borderId="0" xfId="3" applyNumberFormat="1" applyFont="1" applyFill="1" applyBorder="1"/>
    <xf numFmtId="9" fontId="26" fillId="0" borderId="0" xfId="3" applyNumberFormat="1" applyFont="1" applyFill="1" applyBorder="1" applyAlignment="1" applyProtection="1">
      <alignment horizontal="center"/>
      <protection locked="0"/>
    </xf>
    <xf numFmtId="166" fontId="26" fillId="0" borderId="0" xfId="3" applyNumberFormat="1" applyFont="1" applyFill="1" applyBorder="1" applyAlignment="1">
      <alignment horizontal="right"/>
    </xf>
    <xf numFmtId="172" fontId="26" fillId="0" borderId="0" xfId="3" applyNumberFormat="1" applyFont="1" applyFill="1" applyBorder="1" applyAlignment="1">
      <alignment horizontal="center"/>
    </xf>
    <xf numFmtId="171" fontId="26" fillId="0" borderId="0" xfId="3" applyNumberFormat="1" applyFont="1" applyFill="1" applyBorder="1"/>
    <xf numFmtId="166" fontId="26" fillId="0" borderId="0" xfId="0" applyNumberFormat="1" applyFont="1" applyFill="1" applyBorder="1" applyAlignment="1">
      <alignment horizontal="right"/>
    </xf>
    <xf numFmtId="171" fontId="26" fillId="0" borderId="0" xfId="3" applyNumberFormat="1" applyFont="1" applyFill="1" applyBorder="1" applyAlignment="1">
      <alignment horizontal="center"/>
    </xf>
    <xf numFmtId="1" fontId="26" fillId="0" borderId="0" xfId="0" applyNumberFormat="1" applyFont="1" applyBorder="1" applyAlignment="1">
      <alignment horizontal="center"/>
    </xf>
    <xf numFmtId="2" fontId="26" fillId="0" borderId="0" xfId="0" applyNumberFormat="1" applyFont="1" applyBorder="1" applyAlignment="1">
      <alignment horizontal="center"/>
    </xf>
    <xf numFmtId="0" fontId="26" fillId="0" borderId="0" xfId="0" applyFont="1" applyAlignment="1">
      <alignment horizontal="right"/>
    </xf>
    <xf numFmtId="0" fontId="26" fillId="0" borderId="0" xfId="0" applyFont="1" applyBorder="1" applyAlignment="1">
      <alignment horizontal="right"/>
    </xf>
    <xf numFmtId="1" fontId="26" fillId="0" borderId="0" xfId="0" applyNumberFormat="1" applyFont="1" applyAlignment="1">
      <alignment horizontal="right"/>
    </xf>
    <xf numFmtId="1" fontId="26" fillId="0" borderId="0" xfId="3" applyNumberFormat="1" applyFont="1" applyBorder="1" applyAlignment="1">
      <alignment horizontal="right"/>
    </xf>
    <xf numFmtId="166" fontId="26" fillId="0" borderId="0" xfId="3" applyNumberFormat="1" applyFont="1" applyBorder="1" applyAlignment="1">
      <alignment horizontal="right"/>
    </xf>
    <xf numFmtId="171" fontId="26" fillId="0" borderId="0" xfId="3" applyNumberFormat="1" applyFont="1" applyBorder="1" applyAlignment="1">
      <alignment horizontal="center"/>
    </xf>
    <xf numFmtId="171" fontId="26" fillId="0" borderId="0" xfId="3" applyNumberFormat="1" applyFont="1" applyBorder="1"/>
    <xf numFmtId="1" fontId="26" fillId="0" borderId="0" xfId="0" applyNumberFormat="1" applyFont="1" applyFill="1" applyBorder="1"/>
    <xf numFmtId="166" fontId="26" fillId="0" borderId="0" xfId="0" applyNumberFormat="1" applyFont="1" applyBorder="1" applyAlignment="1">
      <alignment horizontal="right"/>
    </xf>
    <xf numFmtId="1" fontId="26" fillId="0" borderId="0" xfId="0" applyNumberFormat="1" applyFont="1" applyFill="1" applyAlignment="1"/>
    <xf numFmtId="1" fontId="26" fillId="0" borderId="0" xfId="0" applyNumberFormat="1" applyFont="1" applyFill="1" applyBorder="1" applyAlignment="1"/>
    <xf numFmtId="172" fontId="26" fillId="0" borderId="0" xfId="3" applyNumberFormat="1" applyFont="1" applyBorder="1"/>
    <xf numFmtId="1" fontId="26" fillId="0" borderId="0" xfId="0" applyNumberFormat="1" applyFont="1" applyAlignment="1"/>
    <xf numFmtId="1" fontId="26" fillId="0" borderId="0" xfId="0" applyNumberFormat="1" applyFont="1" applyBorder="1" applyAlignment="1"/>
    <xf numFmtId="164" fontId="0" fillId="0" borderId="0" xfId="0" applyNumberFormat="1" applyFill="1" applyBorder="1"/>
    <xf numFmtId="173" fontId="26" fillId="0" borderId="0" xfId="0" applyNumberFormat="1" applyFont="1" applyFill="1" applyBorder="1"/>
    <xf numFmtId="0" fontId="0" fillId="0" borderId="0" xfId="0" applyFill="1" applyAlignment="1"/>
    <xf numFmtId="2" fontId="0" fillId="0" borderId="0" xfId="0" applyNumberFormat="1" applyFill="1" applyBorder="1" applyAlignment="1">
      <alignment horizontal="right"/>
    </xf>
    <xf numFmtId="2" fontId="0" fillId="0" borderId="0" xfId="0" applyNumberFormat="1" applyFill="1" applyAlignment="1">
      <alignment horizontal="right"/>
    </xf>
    <xf numFmtId="2" fontId="26" fillId="0" borderId="0" xfId="0" applyNumberFormat="1" applyFont="1" applyFill="1" applyBorder="1" applyAlignment="1" applyProtection="1">
      <alignment horizontal="center"/>
      <protection locked="0"/>
    </xf>
    <xf numFmtId="166" fontId="0" fillId="0" borderId="0" xfId="3" applyNumberFormat="1" applyFont="1" applyFill="1" applyBorder="1" applyAlignment="1">
      <alignment horizontal="right"/>
    </xf>
    <xf numFmtId="9" fontId="0" fillId="0" borderId="0" xfId="3" applyFont="1" applyFill="1" applyBorder="1"/>
    <xf numFmtId="0" fontId="0" fillId="0" borderId="0" xfId="0" applyFill="1" applyBorder="1" applyAlignment="1"/>
    <xf numFmtId="0" fontId="5" fillId="0" borderId="6" xfId="0" quotePrefix="1" applyFont="1" applyFill="1" applyBorder="1" applyAlignment="1" applyProtection="1">
      <alignment horizontal="center" wrapText="1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14" fillId="0" borderId="3" xfId="0" applyFon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1" fontId="0" fillId="0" borderId="0" xfId="0" applyNumberFormat="1" applyFill="1"/>
    <xf numFmtId="1" fontId="26" fillId="0" borderId="0" xfId="0" applyNumberFormat="1" applyFont="1" applyFill="1"/>
    <xf numFmtId="176" fontId="26" fillId="0" borderId="0" xfId="0" applyNumberFormat="1" applyFont="1" applyFill="1" applyBorder="1"/>
    <xf numFmtId="166" fontId="0" fillId="0" borderId="0" xfId="3" applyNumberFormat="1" applyFont="1" applyFill="1" applyBorder="1"/>
    <xf numFmtId="10" fontId="0" fillId="0" borderId="0" xfId="3" applyNumberFormat="1" applyFont="1" applyFill="1" applyBorder="1"/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16" fillId="0" borderId="8" xfId="0" applyFont="1" applyBorder="1" applyAlignment="1">
      <alignment horizontal="center"/>
    </xf>
    <xf numFmtId="9" fontId="16" fillId="0" borderId="0" xfId="3" applyNumberFormat="1" applyFon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2" fontId="16" fillId="0" borderId="0" xfId="3" applyNumberFormat="1" applyFont="1" applyBorder="1" applyAlignment="1">
      <alignment horizontal="center"/>
    </xf>
    <xf numFmtId="2" fontId="26" fillId="0" borderId="0" xfId="3" applyNumberFormat="1" applyFont="1" applyBorder="1" applyAlignment="1">
      <alignment horizontal="center"/>
    </xf>
    <xf numFmtId="2" fontId="26" fillId="0" borderId="0" xfId="3" applyNumberFormat="1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2" fontId="16" fillId="0" borderId="3" xfId="3" applyNumberFormat="1" applyFont="1" applyBorder="1" applyAlignment="1">
      <alignment horizontal="center"/>
    </xf>
    <xf numFmtId="2" fontId="16" fillId="0" borderId="3" xfId="3" applyNumberFormat="1" applyFont="1" applyFill="1" applyBorder="1" applyAlignment="1">
      <alignment horizontal="center"/>
    </xf>
    <xf numFmtId="2" fontId="16" fillId="0" borderId="6" xfId="3" applyNumberFormat="1" applyFont="1" applyBorder="1" applyAlignment="1">
      <alignment horizontal="center"/>
    </xf>
    <xf numFmtId="177" fontId="16" fillId="0" borderId="3" xfId="3" applyNumberFormat="1" applyFont="1" applyBorder="1" applyAlignment="1">
      <alignment horizontal="center"/>
    </xf>
    <xf numFmtId="177" fontId="16" fillId="0" borderId="6" xfId="3" applyNumberFormat="1" applyFont="1" applyBorder="1" applyAlignment="1">
      <alignment horizontal="center"/>
    </xf>
    <xf numFmtId="177" fontId="0" fillId="0" borderId="6" xfId="0" applyNumberFormat="1" applyBorder="1" applyAlignment="1">
      <alignment horizontal="center"/>
    </xf>
    <xf numFmtId="177" fontId="0" fillId="0" borderId="6" xfId="3" applyNumberFormat="1" applyFont="1" applyBorder="1" applyAlignment="1">
      <alignment horizontal="center"/>
    </xf>
    <xf numFmtId="177" fontId="0" fillId="0" borderId="8" xfId="0" applyNumberFormat="1" applyBorder="1" applyAlignment="1">
      <alignment horizontal="center"/>
    </xf>
    <xf numFmtId="177" fontId="16" fillId="0" borderId="0" xfId="3" applyNumberFormat="1" applyFont="1" applyBorder="1" applyAlignment="1">
      <alignment horizontal="center"/>
    </xf>
    <xf numFmtId="177" fontId="0" fillId="0" borderId="0" xfId="3" applyNumberFormat="1" applyFont="1" applyBorder="1" applyAlignment="1">
      <alignment horizontal="center"/>
    </xf>
    <xf numFmtId="177" fontId="0" fillId="0" borderId="0" xfId="0" applyNumberFormat="1" applyBorder="1" applyAlignment="1">
      <alignment horizontal="center"/>
    </xf>
    <xf numFmtId="0" fontId="0" fillId="7" borderId="0" xfId="0" applyFill="1"/>
    <xf numFmtId="0" fontId="28" fillId="7" borderId="0" xfId="0" applyFont="1" applyFill="1"/>
    <xf numFmtId="0" fontId="29" fillId="7" borderId="0" xfId="0" applyFont="1" applyFill="1"/>
    <xf numFmtId="0" fontId="0" fillId="8" borderId="0" xfId="0" applyFill="1"/>
    <xf numFmtId="0" fontId="30" fillId="7" borderId="0" xfId="0" applyFont="1" applyFill="1"/>
    <xf numFmtId="0" fontId="0" fillId="8" borderId="9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0" xfId="0" applyFill="1" applyAlignment="1">
      <alignment horizontal="center"/>
    </xf>
    <xf numFmtId="2" fontId="0" fillId="8" borderId="0" xfId="0" applyNumberFormat="1" applyFill="1" applyAlignment="1">
      <alignment horizontal="center"/>
    </xf>
    <xf numFmtId="0" fontId="31" fillId="7" borderId="0" xfId="0" applyFont="1" applyFill="1"/>
    <xf numFmtId="0" fontId="32" fillId="8" borderId="0" xfId="0" applyFont="1" applyFill="1"/>
    <xf numFmtId="0" fontId="33" fillId="8" borderId="0" xfId="0" applyFont="1" applyFill="1" applyAlignment="1">
      <alignment horizontal="center" vertical="center"/>
    </xf>
    <xf numFmtId="0" fontId="34" fillId="7" borderId="11" xfId="0" applyFont="1" applyFill="1" applyBorder="1"/>
    <xf numFmtId="3" fontId="35" fillId="0" borderId="0" xfId="0" applyNumberFormat="1" applyFont="1" applyAlignment="1">
      <alignment horizontal="center" vertical="center" wrapText="1"/>
    </xf>
    <xf numFmtId="2" fontId="35" fillId="0" borderId="1" xfId="0" applyNumberFormat="1" applyFont="1" applyBorder="1" applyAlignment="1">
      <alignment horizontal="center" vertical="center" wrapText="1"/>
    </xf>
    <xf numFmtId="2" fontId="35" fillId="0" borderId="12" xfId="0" applyNumberFormat="1" applyFont="1" applyBorder="1" applyAlignment="1">
      <alignment horizontal="center" vertical="center" wrapText="1"/>
    </xf>
    <xf numFmtId="44" fontId="0" fillId="0" borderId="0" xfId="0" applyNumberFormat="1"/>
    <xf numFmtId="0" fontId="5" fillId="0" borderId="0" xfId="0" applyFont="1" applyBorder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39" fontId="10" fillId="2" borderId="5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39" fontId="10" fillId="2" borderId="7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/>
    <xf numFmtId="0" fontId="0" fillId="0" borderId="0" xfId="0" applyFill="1" applyBorder="1" applyAlignment="1" applyProtection="1"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1" fontId="13" fillId="0" borderId="0" xfId="0" applyNumberFormat="1" applyFont="1" applyFill="1" applyBorder="1"/>
    <xf numFmtId="0" fontId="0" fillId="0" borderId="0" xfId="0" applyFill="1" applyBorder="1" applyProtection="1">
      <protection locked="0"/>
    </xf>
    <xf numFmtId="164" fontId="8" fillId="0" borderId="0" xfId="0" applyNumberFormat="1" applyFon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6" fillId="0" borderId="0" xfId="0" applyNumberFormat="1" applyFont="1" applyFill="1" applyBorder="1" applyAlignment="1">
      <alignment horizontal="center"/>
    </xf>
    <xf numFmtId="39" fontId="0" fillId="0" borderId="0" xfId="0" applyNumberFormat="1" applyFill="1" applyBorder="1" applyAlignment="1">
      <alignment horizontal="center"/>
    </xf>
    <xf numFmtId="39" fontId="10" fillId="0" borderId="0" xfId="0" applyNumberFormat="1" applyFont="1" applyFill="1" applyBorder="1" applyAlignment="1" applyProtection="1">
      <alignment horizontal="center"/>
      <protection locked="0"/>
    </xf>
    <xf numFmtId="1" fontId="11" fillId="0" borderId="0" xfId="3" applyNumberFormat="1" applyFont="1" applyFill="1" applyBorder="1" applyAlignment="1">
      <alignment horizontal="center"/>
    </xf>
    <xf numFmtId="164" fontId="11" fillId="0" borderId="0" xfId="3" applyNumberFormat="1" applyFont="1" applyFill="1" applyBorder="1" applyAlignment="1">
      <alignment horizontal="center"/>
    </xf>
    <xf numFmtId="3" fontId="11" fillId="0" borderId="0" xfId="3" applyNumberFormat="1" applyFont="1" applyFill="1" applyBorder="1" applyAlignment="1">
      <alignment horizontal="center"/>
    </xf>
    <xf numFmtId="4" fontId="11" fillId="0" borderId="0" xfId="3" applyNumberFormat="1" applyFont="1" applyFill="1" applyBorder="1" applyAlignment="1">
      <alignment horizontal="center"/>
    </xf>
    <xf numFmtId="169" fontId="11" fillId="0" borderId="0" xfId="3" applyNumberFormat="1" applyFont="1" applyFill="1" applyBorder="1" applyAlignment="1">
      <alignment horizontal="center"/>
    </xf>
    <xf numFmtId="170" fontId="11" fillId="0" borderId="0" xfId="3" applyNumberFormat="1" applyFont="1" applyFill="1" applyBorder="1" applyAlignment="1">
      <alignment horizontal="center"/>
    </xf>
    <xf numFmtId="170" fontId="11" fillId="0" borderId="0" xfId="2" applyNumberFormat="1" applyFont="1" applyFill="1" applyBorder="1" applyAlignment="1">
      <alignment horizontal="center"/>
    </xf>
    <xf numFmtId="9" fontId="0" fillId="0" borderId="0" xfId="3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43" fontId="6" fillId="0" borderId="0" xfId="1" applyNumberFormat="1" applyFill="1" applyBorder="1"/>
    <xf numFmtId="2" fontId="11" fillId="0" borderId="0" xfId="3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2" fontId="6" fillId="0" borderId="0" xfId="3" applyNumberFormat="1" applyFont="1" applyFill="1" applyBorder="1" applyAlignment="1">
      <alignment horizontal="center"/>
    </xf>
    <xf numFmtId="9" fontId="11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/>
    <xf numFmtId="39" fontId="0" fillId="0" borderId="0" xfId="0" applyNumberForma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164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78" fontId="0" fillId="0" borderId="0" xfId="0" applyNumberFormat="1"/>
    <xf numFmtId="44" fontId="0" fillId="0" borderId="0" xfId="2" applyFont="1"/>
    <xf numFmtId="2" fontId="0" fillId="0" borderId="9" xfId="0" applyNumberFormat="1" applyBorder="1"/>
    <xf numFmtId="2" fontId="0" fillId="0" borderId="0" xfId="2" applyNumberFormat="1" applyFont="1"/>
    <xf numFmtId="179" fontId="0" fillId="0" borderId="6" xfId="2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/>
    <xf numFmtId="0" fontId="36" fillId="0" borderId="13" xfId="0" applyFont="1" applyFill="1" applyBorder="1" applyAlignment="1">
      <alignment horizontal="center"/>
    </xf>
    <xf numFmtId="0" fontId="36" fillId="0" borderId="13" xfId="0" applyFont="1" applyFill="1" applyBorder="1" applyAlignment="1">
      <alignment horizontal="centerContinuous"/>
    </xf>
    <xf numFmtId="0" fontId="38" fillId="9" borderId="4" xfId="0" applyFont="1" applyFill="1" applyBorder="1" applyAlignment="1" applyProtection="1">
      <alignment horizontal="center" vertical="center"/>
      <protection locked="0"/>
    </xf>
    <xf numFmtId="0" fontId="39" fillId="8" borderId="0" xfId="0" applyFont="1" applyFill="1"/>
    <xf numFmtId="0" fontId="40" fillId="8" borderId="0" xfId="0" applyFont="1" applyFill="1"/>
    <xf numFmtId="0" fontId="0" fillId="8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39" fillId="7" borderId="0" xfId="0" applyFont="1" applyFill="1"/>
    <xf numFmtId="0" fontId="41" fillId="8" borderId="4" xfId="0" applyFont="1" applyFill="1" applyBorder="1"/>
    <xf numFmtId="44" fontId="41" fillId="2" borderId="4" xfId="2" applyFont="1" applyFill="1" applyBorder="1" applyProtection="1">
      <protection locked="0"/>
    </xf>
    <xf numFmtId="44" fontId="41" fillId="4" borderId="4" xfId="4" applyNumberFormat="1" applyFont="1" applyFill="1" applyBorder="1"/>
    <xf numFmtId="44" fontId="41" fillId="10" borderId="4" xfId="2" applyFont="1" applyFill="1" applyBorder="1" applyProtection="1">
      <protection locked="0"/>
    </xf>
    <xf numFmtId="0" fontId="41" fillId="8" borderId="0" xfId="0" applyFont="1" applyFill="1"/>
    <xf numFmtId="0" fontId="31" fillId="8" borderId="0" xfId="0" applyFont="1" applyFill="1"/>
    <xf numFmtId="0" fontId="29" fillId="8" borderId="0" xfId="0" applyFont="1" applyFill="1"/>
    <xf numFmtId="0" fontId="34" fillId="7" borderId="17" xfId="0" applyFont="1" applyFill="1" applyBorder="1"/>
    <xf numFmtId="0" fontId="44" fillId="8" borderId="0" xfId="0" applyFont="1" applyFill="1"/>
    <xf numFmtId="2" fontId="42" fillId="12" borderId="16" xfId="0" applyNumberFormat="1" applyFont="1" applyFill="1" applyBorder="1" applyAlignment="1">
      <alignment horizontal="center"/>
    </xf>
    <xf numFmtId="2" fontId="42" fillId="12" borderId="14" xfId="0" applyNumberFormat="1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1" fontId="35" fillId="0" borderId="0" xfId="0" applyNumberFormat="1" applyFont="1" applyAlignment="1">
      <alignment horizontal="center" vertical="center" wrapText="1"/>
    </xf>
    <xf numFmtId="173" fontId="6" fillId="0" borderId="0" xfId="0" applyNumberFormat="1" applyFont="1"/>
    <xf numFmtId="0" fontId="6" fillId="8" borderId="9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32" fillId="8" borderId="4" xfId="0" applyFont="1" applyFill="1" applyBorder="1"/>
    <xf numFmtId="0" fontId="41" fillId="11" borderId="4" xfId="0" applyFont="1" applyFill="1" applyBorder="1" applyProtection="1">
      <protection locked="0"/>
    </xf>
    <xf numFmtId="0" fontId="45" fillId="8" borderId="18" xfId="0" applyFont="1" applyFill="1" applyBorder="1"/>
    <xf numFmtId="0" fontId="41" fillId="11" borderId="4" xfId="0" applyFont="1" applyFill="1" applyBorder="1"/>
    <xf numFmtId="0" fontId="44" fillId="7" borderId="20" xfId="0" applyFont="1" applyFill="1" applyBorder="1"/>
    <xf numFmtId="0" fontId="44" fillId="7" borderId="21" xfId="0" applyFont="1" applyFill="1" applyBorder="1"/>
    <xf numFmtId="2" fontId="42" fillId="12" borderId="20" xfId="0" applyNumberFormat="1" applyFont="1" applyFill="1" applyBorder="1" applyAlignment="1">
      <alignment horizontal="center"/>
    </xf>
    <xf numFmtId="2" fontId="42" fillId="12" borderId="21" xfId="0" applyNumberFormat="1" applyFont="1" applyFill="1" applyBorder="1" applyAlignment="1">
      <alignment horizontal="center"/>
    </xf>
    <xf numFmtId="2" fontId="42" fillId="12" borderId="23" xfId="0" applyNumberFormat="1" applyFont="1" applyFill="1" applyBorder="1" applyAlignment="1">
      <alignment horizontal="center"/>
    </xf>
    <xf numFmtId="2" fontId="42" fillId="12" borderId="24" xfId="0" applyNumberFormat="1" applyFont="1" applyFill="1" applyBorder="1" applyAlignment="1">
      <alignment horizontal="center"/>
    </xf>
    <xf numFmtId="0" fontId="44" fillId="7" borderId="25" xfId="0" applyFont="1" applyFill="1" applyBorder="1"/>
    <xf numFmtId="2" fontId="42" fillId="12" borderId="26" xfId="0" applyNumberFormat="1" applyFont="1" applyFill="1" applyBorder="1" applyAlignment="1">
      <alignment horizontal="center"/>
    </xf>
    <xf numFmtId="2" fontId="42" fillId="12" borderId="27" xfId="0" applyNumberFormat="1" applyFont="1" applyFill="1" applyBorder="1" applyAlignment="1">
      <alignment horizontal="center"/>
    </xf>
    <xf numFmtId="0" fontId="44" fillId="7" borderId="19" xfId="0" applyFont="1" applyFill="1" applyBorder="1" applyAlignment="1">
      <alignment horizontal="center"/>
    </xf>
    <xf numFmtId="170" fontId="42" fillId="12" borderId="22" xfId="0" applyNumberFormat="1" applyFont="1" applyFill="1" applyBorder="1" applyAlignment="1">
      <alignment horizontal="center"/>
    </xf>
    <xf numFmtId="170" fontId="42" fillId="12" borderId="25" xfId="0" applyNumberFormat="1" applyFont="1" applyFill="1" applyBorder="1" applyAlignment="1">
      <alignment horizontal="center"/>
    </xf>
    <xf numFmtId="0" fontId="42" fillId="8" borderId="15" xfId="0" applyFont="1" applyFill="1" applyBorder="1" applyAlignment="1">
      <alignment horizontal="center"/>
    </xf>
    <xf numFmtId="0" fontId="43" fillId="8" borderId="15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0" applyFont="1" applyAlignment="1">
      <alignment horizontal="center" wrapText="1"/>
    </xf>
  </cellXfs>
  <cellStyles count="10">
    <cellStyle name="Comma" xfId="1" builtinId="3"/>
    <cellStyle name="Currency" xfId="2" builtinId="4"/>
    <cellStyle name="Normal" xfId="0" builtinId="0"/>
    <cellStyle name="Normal 2" xfId="4" xr:uid="{00000000-0005-0000-0000-000003000000}"/>
    <cellStyle name="Normal 2 2" xfId="7" xr:uid="{00000000-0005-0000-0000-000004000000}"/>
    <cellStyle name="Normal 3" xfId="5" xr:uid="{00000000-0005-0000-0000-000005000000}"/>
    <cellStyle name="Normal 3 2" xfId="6" xr:uid="{00000000-0005-0000-0000-000006000000}"/>
    <cellStyle name="Normal 3 3" xfId="9" xr:uid="{00000000-0005-0000-0000-000007000000}"/>
    <cellStyle name="Normal 4" xfId="8" xr:uid="{00000000-0005-0000-0000-000008000000}"/>
    <cellStyle name="Percent" xfId="3" builtinId="5"/>
  </cellStyles>
  <dxfs count="16"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DFF97"/>
      <color rgb="FFFFFF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rgbClr val="7030A0"/>
                </a:solidFill>
              </a:rPr>
              <a:t>Lysine Recommendations for Grow-Finish Pigs</a:t>
            </a:r>
          </a:p>
        </c:rich>
      </c:tx>
      <c:layout>
        <c:manualLayout>
          <c:xMode val="edge"/>
          <c:yMode val="edge"/>
          <c:x val="0.18108054993710951"/>
          <c:y val="3.80116893427344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rgbClr val="7030A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7137289321392"/>
          <c:y val="0.14931854129729491"/>
          <c:w val="0.8101497440570351"/>
          <c:h val="0.647023089087055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'Lys Calculator-kg'!$BQ$2</c:f>
              <c:strCache>
                <c:ptCount val="1"/>
                <c:pt idx="0">
                  <c:v>Growth Performance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'Lys Calculator-kg'!$BP$3:$BP$8</c:f>
              <c:numCache>
                <c:formatCode>General</c:formatCode>
                <c:ptCount val="6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95</c:v>
                </c:pt>
                <c:pt idx="4">
                  <c:v>115</c:v>
                </c:pt>
                <c:pt idx="5">
                  <c:v>135</c:v>
                </c:pt>
              </c:numCache>
            </c:numRef>
          </c:xVal>
          <c:yVal>
            <c:numRef>
              <c:f>'Lys Calculator-kg'!$BQ$3:$BQ$8</c:f>
              <c:numCache>
                <c:formatCode>0.00</c:formatCode>
                <c:ptCount val="6"/>
                <c:pt idx="0">
                  <c:v>5.6695949999999993</c:v>
                </c:pt>
                <c:pt idx="1">
                  <c:v>4.3815650000000002</c:v>
                </c:pt>
                <c:pt idx="2">
                  <c:v>3.4199099999999989</c:v>
                </c:pt>
                <c:pt idx="3">
                  <c:v>2.8855759999999995</c:v>
                </c:pt>
                <c:pt idx="4">
                  <c:v>2.5601219999999989</c:v>
                </c:pt>
                <c:pt idx="5">
                  <c:v>2.4435479999999981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20-F943-AF3E-C6DF482653EB}"/>
            </c:ext>
          </c:extLst>
        </c:ser>
        <c:ser>
          <c:idx val="1"/>
          <c:order val="1"/>
          <c:tx>
            <c:strRef>
              <c:f>'Lys Calculator-kg'!$BR$2</c:f>
              <c:strCache>
                <c:ptCount val="1"/>
                <c:pt idx="0">
                  <c:v>IOFC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'Lys Calculator-kg'!$BP$3:$BP$9</c:f>
              <c:numCache>
                <c:formatCode>General</c:formatCode>
                <c:ptCount val="7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95</c:v>
                </c:pt>
                <c:pt idx="4">
                  <c:v>115</c:v>
                </c:pt>
                <c:pt idx="5">
                  <c:v>135</c:v>
                </c:pt>
              </c:numCache>
            </c:numRef>
          </c:xVal>
          <c:yVal>
            <c:numRef>
              <c:f>'Lys Calculator-kg'!$BR$3:$BR$9</c:f>
              <c:numCache>
                <c:formatCode>0.00</c:formatCode>
                <c:ptCount val="7"/>
                <c:pt idx="0">
                  <c:v>4.2001449282734553</c:v>
                </c:pt>
                <c:pt idx="1">
                  <c:v>3.4077188583070255</c:v>
                </c:pt>
                <c:pt idx="2">
                  <c:v>2.8631242442988514</c:v>
                </c:pt>
                <c:pt idx="3">
                  <c:v>2.6058872013822558</c:v>
                </c:pt>
                <c:pt idx="4">
                  <c:v>2.5072622902789443</c:v>
                </c:pt>
                <c:pt idx="5">
                  <c:v>2.5672495109889164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20-F943-AF3E-C6DF48265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8505776"/>
        <c:axId val="1908004256"/>
      </c:scatterChart>
      <c:valAx>
        <c:axId val="1488505776"/>
        <c:scaling>
          <c:orientation val="minMax"/>
          <c:max val="15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7030A0"/>
                    </a:solidFill>
                  </a:rPr>
                  <a:t>Weight,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rgbClr val="7030A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8004256"/>
        <c:crosses val="autoZero"/>
        <c:crossBetween val="midCat"/>
        <c:majorUnit val="25"/>
      </c:valAx>
      <c:valAx>
        <c:axId val="1908004256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7030A0"/>
                    </a:solidFill>
                  </a:rPr>
                  <a:t>SID</a:t>
                </a:r>
                <a:r>
                  <a:rPr lang="en-US" baseline="0">
                    <a:solidFill>
                      <a:srgbClr val="7030A0"/>
                    </a:solidFill>
                  </a:rPr>
                  <a:t> Ly</a:t>
                </a:r>
                <a:r>
                  <a:rPr lang="en-US">
                    <a:solidFill>
                      <a:srgbClr val="7030A0"/>
                    </a:solidFill>
                  </a:rPr>
                  <a:t>s:NE, g/Mcal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rgbClr val="7030A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850577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478481415824764"/>
          <c:y val="0.56229946948883203"/>
          <c:w val="0.37559954542433044"/>
          <c:h val="0.2324993809736047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rgbClr val="7030A0"/>
                </a:solidFill>
              </a:rPr>
              <a:t>Lysine</a:t>
            </a:r>
            <a:r>
              <a:rPr lang="en-US" sz="1800" baseline="0">
                <a:solidFill>
                  <a:srgbClr val="7030A0"/>
                </a:solidFill>
              </a:rPr>
              <a:t> Recommendations for Grow-Finish Pigs</a:t>
            </a:r>
            <a:endParaRPr lang="en-US" sz="1800">
              <a:solidFill>
                <a:srgbClr val="7030A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rgbClr val="7030A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828827481569073"/>
          <c:y val="0.16464082985796491"/>
          <c:w val="0.81073183880033795"/>
          <c:h val="0.61422051592704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'Lys Calculator-kg'!$BU$2</c:f>
              <c:strCache>
                <c:ptCount val="1"/>
                <c:pt idx="0">
                  <c:v>Grow Performance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'Lys Calculator-kg'!$BT$3:$BT$9</c:f>
              <c:numCache>
                <c:formatCode>General</c:formatCode>
                <c:ptCount val="7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95</c:v>
                </c:pt>
                <c:pt idx="4">
                  <c:v>115</c:v>
                </c:pt>
                <c:pt idx="5">
                  <c:v>135</c:v>
                </c:pt>
              </c:numCache>
            </c:numRef>
          </c:xVal>
          <c:yVal>
            <c:numRef>
              <c:f>'Lys Calculator-kg'!$BU$3:$BU$9</c:f>
              <c:numCache>
                <c:formatCode>0.00</c:formatCode>
                <c:ptCount val="7"/>
                <c:pt idx="0">
                  <c:v>1.4996078774999999</c:v>
                </c:pt>
                <c:pt idx="1">
                  <c:v>1.1589239425</c:v>
                </c:pt>
                <c:pt idx="2">
                  <c:v>0.9045661949999998</c:v>
                </c:pt>
                <c:pt idx="3">
                  <c:v>0.76323485199999985</c:v>
                </c:pt>
                <c:pt idx="4">
                  <c:v>0.6771522689999997</c:v>
                </c:pt>
                <c:pt idx="5">
                  <c:v>0.64631844599999955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BA-864D-B5A9-59615CF6537C}"/>
            </c:ext>
          </c:extLst>
        </c:ser>
        <c:ser>
          <c:idx val="1"/>
          <c:order val="1"/>
          <c:tx>
            <c:strRef>
              <c:f>'Lys Calculator-kg'!$BV$2</c:f>
              <c:strCache>
                <c:ptCount val="1"/>
                <c:pt idx="0">
                  <c:v>IOFC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'Lys Calculator-kg'!$BT$3:$BT$9</c:f>
              <c:numCache>
                <c:formatCode>General</c:formatCode>
                <c:ptCount val="7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95</c:v>
                </c:pt>
                <c:pt idx="4">
                  <c:v>115</c:v>
                </c:pt>
                <c:pt idx="5">
                  <c:v>135</c:v>
                </c:pt>
              </c:numCache>
            </c:numRef>
          </c:xVal>
          <c:yVal>
            <c:numRef>
              <c:f>'Lys Calculator-kg'!$BV$3:$BV$9</c:f>
              <c:numCache>
                <c:formatCode>0.00</c:formatCode>
                <c:ptCount val="7"/>
                <c:pt idx="0">
                  <c:v>1.1109383335283289</c:v>
                </c:pt>
                <c:pt idx="1">
                  <c:v>0.90134163802220824</c:v>
                </c:pt>
                <c:pt idx="2">
                  <c:v>0.75729636261704614</c:v>
                </c:pt>
                <c:pt idx="3">
                  <c:v>0.68925716476560661</c:v>
                </c:pt>
                <c:pt idx="4">
                  <c:v>0.66317087577878076</c:v>
                </c:pt>
                <c:pt idx="5">
                  <c:v>0.67903749565656835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BA-864D-B5A9-59615CF65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6689232"/>
        <c:axId val="1526690880"/>
      </c:scatterChart>
      <c:valAx>
        <c:axId val="1526689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7030A0"/>
                    </a:solidFill>
                  </a:rPr>
                  <a:t>Weight,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rgbClr val="7030A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6690880"/>
        <c:crosses val="autoZero"/>
        <c:crossBetween val="midCat"/>
        <c:majorUnit val="25"/>
      </c:valAx>
      <c:valAx>
        <c:axId val="1526690880"/>
        <c:scaling>
          <c:orientation val="minMax"/>
          <c:max val="1.8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7030A0"/>
                    </a:solidFill>
                  </a:rPr>
                  <a:t>SID</a:t>
                </a:r>
                <a:r>
                  <a:rPr lang="en-US" baseline="0">
                    <a:solidFill>
                      <a:srgbClr val="7030A0"/>
                    </a:solidFill>
                  </a:rPr>
                  <a:t> Lys, %</a:t>
                </a:r>
                <a:endParaRPr lang="en-US">
                  <a:solidFill>
                    <a:srgbClr val="7030A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rgbClr val="7030A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6689232"/>
        <c:crosses val="autoZero"/>
        <c:crossBetween val="midCat"/>
        <c:majorUnit val="0.4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814002693570222"/>
          <c:y val="0.53298190782652299"/>
          <c:w val="0.35507506395601446"/>
          <c:h val="0.23112809642361004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7030A0"/>
                </a:solidFill>
              </a:rPr>
              <a:t>Lysine</a:t>
            </a:r>
            <a:r>
              <a:rPr lang="en-US" baseline="0">
                <a:solidFill>
                  <a:srgbClr val="7030A0"/>
                </a:solidFill>
              </a:rPr>
              <a:t> Recommendations for Grow-Finish Pigs</a:t>
            </a:r>
            <a:endParaRPr lang="en-US">
              <a:solidFill>
                <a:srgbClr val="7030A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rgbClr val="7030A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44344451333864"/>
          <c:y val="0.12978939138481699"/>
          <c:w val="0.79739050415160606"/>
          <c:h val="0.684005017140597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'Lys Curve'!$B$8</c:f>
              <c:strCache>
                <c:ptCount val="1"/>
                <c:pt idx="0">
                  <c:v>Grow Performance</c:v>
                </c:pt>
              </c:strCache>
            </c:strRef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'Lys Curve'!$A$9:$A$19</c:f>
              <c:numCache>
                <c:formatCode>General</c:formatCode>
                <c:ptCount val="11"/>
                <c:pt idx="0">
                  <c:v>60</c:v>
                </c:pt>
                <c:pt idx="1">
                  <c:v>80</c:v>
                </c:pt>
                <c:pt idx="2">
                  <c:v>100</c:v>
                </c:pt>
                <c:pt idx="3">
                  <c:v>120</c:v>
                </c:pt>
                <c:pt idx="4">
                  <c:v>140</c:v>
                </c:pt>
                <c:pt idx="5">
                  <c:v>160</c:v>
                </c:pt>
                <c:pt idx="6">
                  <c:v>180</c:v>
                </c:pt>
                <c:pt idx="7">
                  <c:v>200</c:v>
                </c:pt>
                <c:pt idx="8">
                  <c:v>220</c:v>
                </c:pt>
                <c:pt idx="9">
                  <c:v>240</c:v>
                </c:pt>
                <c:pt idx="10">
                  <c:v>260</c:v>
                </c:pt>
              </c:numCache>
            </c:numRef>
          </c:xVal>
          <c:yVal>
            <c:numRef>
              <c:f>'Lys Curve'!$B$9:$B$19</c:f>
              <c:numCache>
                <c:formatCode>0.00</c:formatCode>
                <c:ptCount val="11"/>
                <c:pt idx="0">
                  <c:v>5.5343929380999999</c:v>
                </c:pt>
                <c:pt idx="1">
                  <c:v>5.0446230000999996</c:v>
                </c:pt>
                <c:pt idx="2">
                  <c:v>4.5968849821000006</c:v>
                </c:pt>
                <c:pt idx="3">
                  <c:v>4.1911788841000002</c:v>
                </c:pt>
                <c:pt idx="4">
                  <c:v>3.8275047060999992</c:v>
                </c:pt>
                <c:pt idx="5">
                  <c:v>3.5058624480999994</c:v>
                </c:pt>
                <c:pt idx="6">
                  <c:v>3.2262521100999999</c:v>
                </c:pt>
                <c:pt idx="7">
                  <c:v>2.9886736920999999</c:v>
                </c:pt>
                <c:pt idx="8">
                  <c:v>2.7931271941000002</c:v>
                </c:pt>
                <c:pt idx="9">
                  <c:v>2.6396126161</c:v>
                </c:pt>
                <c:pt idx="10">
                  <c:v>2.5281299580999992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E1-2D47-A075-72F5E6FFAFD5}"/>
            </c:ext>
          </c:extLst>
        </c:ser>
        <c:ser>
          <c:idx val="1"/>
          <c:order val="1"/>
          <c:tx>
            <c:strRef>
              <c:f>'Lys Curve'!$C$8</c:f>
              <c:strCache>
                <c:ptCount val="1"/>
                <c:pt idx="0">
                  <c:v>IOFC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'Lys Curve'!$A$9:$A$19</c:f>
              <c:numCache>
                <c:formatCode>General</c:formatCode>
                <c:ptCount val="11"/>
                <c:pt idx="0">
                  <c:v>60</c:v>
                </c:pt>
                <c:pt idx="1">
                  <c:v>80</c:v>
                </c:pt>
                <c:pt idx="2">
                  <c:v>100</c:v>
                </c:pt>
                <c:pt idx="3">
                  <c:v>120</c:v>
                </c:pt>
                <c:pt idx="4">
                  <c:v>140</c:v>
                </c:pt>
                <c:pt idx="5">
                  <c:v>160</c:v>
                </c:pt>
                <c:pt idx="6">
                  <c:v>180</c:v>
                </c:pt>
                <c:pt idx="7">
                  <c:v>200</c:v>
                </c:pt>
                <c:pt idx="8">
                  <c:v>220</c:v>
                </c:pt>
                <c:pt idx="9">
                  <c:v>240</c:v>
                </c:pt>
                <c:pt idx="10">
                  <c:v>260</c:v>
                </c:pt>
              </c:numCache>
            </c:numRef>
          </c:xVal>
          <c:yVal>
            <c:numRef>
              <c:f>'Lys Curve'!$C$9:$C$19</c:f>
              <c:numCache>
                <c:formatCode>0.00</c:formatCode>
                <c:ptCount val="11"/>
                <c:pt idx="0">
                  <c:v>4.3498101034000003</c:v>
                </c:pt>
                <c:pt idx="1">
                  <c:v>4.0518548694000005</c:v>
                </c:pt>
                <c:pt idx="2">
                  <c:v>3.7788841154000004</c:v>
                </c:pt>
                <c:pt idx="3">
                  <c:v>3.5308978414000007</c:v>
                </c:pt>
                <c:pt idx="4">
                  <c:v>3.3078960474000003</c:v>
                </c:pt>
                <c:pt idx="5">
                  <c:v>3.1098787334000004</c:v>
                </c:pt>
                <c:pt idx="6">
                  <c:v>2.9368458994000006</c:v>
                </c:pt>
                <c:pt idx="7">
                  <c:v>2.7887975454000005</c:v>
                </c:pt>
                <c:pt idx="8">
                  <c:v>2.6657336714000008</c:v>
                </c:pt>
                <c:pt idx="9">
                  <c:v>2.5676542774000009</c:v>
                </c:pt>
                <c:pt idx="10">
                  <c:v>2.494559363400001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E1-2D47-A075-72F5E6FFA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40192"/>
        <c:axId val="98401936"/>
      </c:scatterChart>
      <c:valAx>
        <c:axId val="98140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7030A0"/>
                    </a:solidFill>
                  </a:rPr>
                  <a:t>Weight, lb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rgbClr val="7030A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401936"/>
        <c:crosses val="autoZero"/>
        <c:crossBetween val="midCat"/>
      </c:valAx>
      <c:valAx>
        <c:axId val="98401936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rgbClr val="7030A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7030A0"/>
                    </a:solidFill>
                  </a:rPr>
                  <a:t>SID</a:t>
                </a:r>
                <a:r>
                  <a:rPr lang="en-US" baseline="0">
                    <a:solidFill>
                      <a:srgbClr val="7030A0"/>
                    </a:solidFill>
                  </a:rPr>
                  <a:t> Lys:NE, g/mcal</a:t>
                </a:r>
                <a:endParaRPr lang="en-US">
                  <a:solidFill>
                    <a:srgbClr val="7030A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rgbClr val="7030A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14019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0653730739467135"/>
          <c:y val="0.55993285048076658"/>
          <c:w val="0.23643184420472069"/>
          <c:h val="0.19898269022522841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SID</a:t>
            </a:r>
            <a:r>
              <a:rPr lang="en-US" baseline="0"/>
              <a:t> Lys:NE Recommendations for Grow-Finish Pigs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28575" cap="rnd">
                <a:solidFill>
                  <a:srgbClr val="7030A0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4475103733145897"/>
                  <c:y val="-0.35711452983614911"/>
                </c:manualLayout>
              </c:layout>
              <c:numFmt formatCode="#,##0.00000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'IOFC Calculations'!$L$24:$L$28</c:f>
              <c:numCache>
                <c:formatCode>0.00</c:formatCode>
                <c:ptCount val="5"/>
                <c:pt idx="0">
                  <c:v>29</c:v>
                </c:pt>
                <c:pt idx="1">
                  <c:v>45</c:v>
                </c:pt>
                <c:pt idx="2">
                  <c:v>64</c:v>
                </c:pt>
                <c:pt idx="3">
                  <c:v>88</c:v>
                </c:pt>
                <c:pt idx="4">
                  <c:v>115.5</c:v>
                </c:pt>
              </c:numCache>
            </c:numRef>
          </c:xVal>
          <c:yVal>
            <c:numRef>
              <c:f>'IOFC Calculations'!$N$24:$N$28</c:f>
              <c:numCache>
                <c:formatCode>General</c:formatCode>
                <c:ptCount val="5"/>
                <c:pt idx="0">
                  <c:v>4.3099999999999996</c:v>
                </c:pt>
                <c:pt idx="1">
                  <c:v>2.97</c:v>
                </c:pt>
                <c:pt idx="2">
                  <c:v>3.44</c:v>
                </c:pt>
                <c:pt idx="3">
                  <c:v>2.67</c:v>
                </c:pt>
                <c:pt idx="4">
                  <c:v>2.4700000000000002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C6-754E-B624-E85C146F4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267688"/>
        <c:axId val="552265392"/>
      </c:scatterChart>
      <c:valAx>
        <c:axId val="552267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BW,</a:t>
                </a:r>
                <a:r>
                  <a:rPr lang="en-US" baseline="0"/>
                  <a:t> lb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265392"/>
        <c:crosses val="autoZero"/>
        <c:crossBetween val="midCat"/>
      </c:valAx>
      <c:valAx>
        <c:axId val="552265392"/>
        <c:scaling>
          <c:orientation val="minMax"/>
          <c:max val="6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SID</a:t>
                </a:r>
                <a:r>
                  <a:rPr lang="en-US" baseline="0"/>
                  <a:t> Lys:NE, g/mcal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26768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2929</xdr:colOff>
      <xdr:row>0</xdr:row>
      <xdr:rowOff>133352</xdr:rowOff>
    </xdr:from>
    <xdr:to>
      <xdr:col>17</xdr:col>
      <xdr:colOff>2076450</xdr:colOff>
      <xdr:row>13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206BA93-F24F-ADEF-507B-E8D74AD8CA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96</xdr:colOff>
      <xdr:row>14</xdr:row>
      <xdr:rowOff>28575</xdr:rowOff>
    </xdr:from>
    <xdr:to>
      <xdr:col>17</xdr:col>
      <xdr:colOff>2095500</xdr:colOff>
      <xdr:row>27</xdr:row>
      <xdr:rowOff>58616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BA0B5A-2602-E633-F492-562A6812FB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1058</xdr:colOff>
      <xdr:row>5</xdr:row>
      <xdr:rowOff>22932</xdr:rowOff>
    </xdr:from>
    <xdr:to>
      <xdr:col>9</xdr:col>
      <xdr:colOff>21166</xdr:colOff>
      <xdr:row>10</xdr:row>
      <xdr:rowOff>182562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510E982-018A-3474-A658-06E3521CC794}"/>
            </a:ext>
          </a:extLst>
        </xdr:cNvPr>
        <xdr:cNvSpPr txBox="1"/>
      </xdr:nvSpPr>
      <xdr:spPr>
        <a:xfrm>
          <a:off x="8049683" y="1435807"/>
          <a:ext cx="3099858" cy="135025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-Purple</a:t>
          </a:r>
          <a:r>
            <a:rPr lang="en-US" sz="1400" baseline="0"/>
            <a:t> colored cells contain</a:t>
          </a:r>
        </a:p>
        <a:p>
          <a:r>
            <a:rPr lang="en-US" sz="1400" baseline="0"/>
            <a:t>dropdown lists.</a:t>
          </a:r>
        </a:p>
        <a:p>
          <a:endParaRPr lang="en-US" sz="1400" baseline="0"/>
        </a:p>
        <a:p>
          <a:r>
            <a:rPr lang="en-US" sz="1400" baseline="0"/>
            <a:t>-Yellow colored cells are required inputs.</a:t>
          </a:r>
          <a:endParaRPr lang="en-US" sz="1400"/>
        </a:p>
      </xdr:txBody>
    </xdr:sp>
    <xdr:clientData/>
  </xdr:twoCellAnchor>
  <xdr:twoCellAnchor editAs="oneCell">
    <xdr:from>
      <xdr:col>1</xdr:col>
      <xdr:colOff>38099</xdr:colOff>
      <xdr:row>2</xdr:row>
      <xdr:rowOff>152399</xdr:rowOff>
    </xdr:from>
    <xdr:to>
      <xdr:col>1</xdr:col>
      <xdr:colOff>2648164</xdr:colOff>
      <xdr:row>9</xdr:row>
      <xdr:rowOff>219075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326C11-6D6D-62F0-E003-1CA437373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4" y="857249"/>
          <a:ext cx="2610065" cy="1733551"/>
        </a:xfrm>
        <a:prstGeom prst="rect">
          <a:avLst/>
        </a:prstGeom>
      </xdr:spPr>
    </xdr:pic>
    <xdr:clientData/>
  </xdr:twoCellAnchor>
  <xdr:twoCellAnchor>
    <xdr:from>
      <xdr:col>0</xdr:col>
      <xdr:colOff>320674</xdr:colOff>
      <xdr:row>31</xdr:row>
      <xdr:rowOff>127000</xdr:rowOff>
    </xdr:from>
    <xdr:to>
      <xdr:col>10</xdr:col>
      <xdr:colOff>28222</xdr:colOff>
      <xdr:row>40</xdr:row>
      <xdr:rowOff>15875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5B10A8-9454-5EAE-9A20-300EF7FFE070}"/>
            </a:ext>
          </a:extLst>
        </xdr:cNvPr>
        <xdr:cNvSpPr txBox="1"/>
      </xdr:nvSpPr>
      <xdr:spPr>
        <a:xfrm>
          <a:off x="320674" y="8509000"/>
          <a:ext cx="12774437" cy="1539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600"/>
            <a:t>The</a:t>
          </a:r>
          <a:r>
            <a:rPr lang="en-US" sz="1600" baseline="0"/>
            <a:t> data for this calculator was derived from a series of experiments conducted at the Kansas State University Swine Teaching and Research Center, on pigs with DNA 600 x 241 genetic makeup, in a high-health environment. Additionally, diets in these experiments were Corn-Soybean Meal-based fomulated including feed-grade amino acids (L-Lys, DL-Met, L-Thr, L-Trp, and L-Val). The recommendations within this calculator are specific to this diet formluation strategy and enviromental conditions, and as such may not directly correlate a commercial environment or when a different diet formulation strategy is utilized. </a:t>
          </a:r>
          <a:endParaRPr lang="en-US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239890</xdr:colOff>
      <xdr:row>0</xdr:row>
      <xdr:rowOff>0</xdr:rowOff>
    </xdr:from>
    <xdr:to>
      <xdr:col>14</xdr:col>
      <xdr:colOff>1249</xdr:colOff>
      <xdr:row>3</xdr:row>
      <xdr:rowOff>160866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5E40FC-0B02-C943-B679-E2DEF661C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05623" y="0"/>
          <a:ext cx="2250559" cy="1236133"/>
        </a:xfrm>
        <a:prstGeom prst="rect">
          <a:avLst/>
        </a:prstGeom>
      </xdr:spPr>
    </xdr:pic>
    <xdr:clientData/>
  </xdr:twoCellAnchor>
  <xdr:twoCellAnchor>
    <xdr:from>
      <xdr:col>3</xdr:col>
      <xdr:colOff>539750</xdr:colOff>
      <xdr:row>5</xdr:row>
      <xdr:rowOff>152400</xdr:rowOff>
    </xdr:from>
    <xdr:to>
      <xdr:col>10</xdr:col>
      <xdr:colOff>774700</xdr:colOff>
      <xdr:row>27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977EE3-5BED-1442-AB86-7A1B226A3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637177</xdr:colOff>
      <xdr:row>12</xdr:row>
      <xdr:rowOff>62955</xdr:rowOff>
    </xdr:from>
    <xdr:to>
      <xdr:col>27</xdr:col>
      <xdr:colOff>598714</xdr:colOff>
      <xdr:row>38</xdr:row>
      <xdr:rowOff>9072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suemailprod-my.sharepoint.com/Projects/RESEARCH/Drug%20Use%20Sheets/Drug%20Cost%20Calculator%20V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 drugs"/>
      <sheetName val="Growth Promotants"/>
      <sheetName val="Injectable"/>
      <sheetName val="Water"/>
      <sheetName val="Sheet3"/>
      <sheetName val="Feed Therapeutics"/>
      <sheetName val="In-Feed Production Usage"/>
    </sheetNames>
    <sheetDataSet>
      <sheetData sheetId="0">
        <row r="2">
          <cell r="C2" t="str">
            <v>Var rate</v>
          </cell>
          <cell r="D2" t="str">
            <v>Units, Lbs</v>
          </cell>
          <cell r="E2" t="str">
            <v>package</v>
          </cell>
          <cell r="F2" t="str">
            <v>pound</v>
          </cell>
          <cell r="G2" t="str">
            <v>gram</v>
          </cell>
          <cell r="H2" t="str">
            <v>per lb</v>
          </cell>
          <cell r="I2" t="str">
            <v>per ton</v>
          </cell>
          <cell r="J2" t="str">
            <v>addition</v>
          </cell>
        </row>
        <row r="3">
          <cell r="A3">
            <v>1</v>
          </cell>
          <cell r="B3" t="str">
            <v xml:space="preserve">Apramycin 150 </v>
          </cell>
          <cell r="C3" t="str">
            <v>F</v>
          </cell>
          <cell r="D3">
            <v>20</v>
          </cell>
          <cell r="E3">
            <v>40.71</v>
          </cell>
          <cell r="F3">
            <v>2.0354999999999999</v>
          </cell>
          <cell r="G3">
            <v>0.27139999999999997</v>
          </cell>
          <cell r="H3">
            <v>7.5</v>
          </cell>
          <cell r="I3">
            <v>20</v>
          </cell>
          <cell r="J3">
            <v>40.709999999999994</v>
          </cell>
        </row>
        <row r="4">
          <cell r="A4">
            <v>2</v>
          </cell>
          <cell r="B4" t="str">
            <v>BMD 60</v>
          </cell>
          <cell r="C4" t="str">
            <v xml:space="preserve">V </v>
          </cell>
          <cell r="D4">
            <v>50</v>
          </cell>
          <cell r="E4">
            <v>187.2</v>
          </cell>
          <cell r="F4">
            <v>3.7439999999999998</v>
          </cell>
          <cell r="G4">
            <v>6.2399999999999997E-2</v>
          </cell>
          <cell r="H4">
            <v>60</v>
          </cell>
          <cell r="I4">
            <v>3.25</v>
          </cell>
          <cell r="J4">
            <v>12.167999999999999</v>
          </cell>
        </row>
        <row r="5">
          <cell r="A5">
            <v>3</v>
          </cell>
          <cell r="B5" t="str">
            <v>CSP 250</v>
          </cell>
          <cell r="C5" t="str">
            <v>F</v>
          </cell>
          <cell r="D5">
            <v>50</v>
          </cell>
          <cell r="E5">
            <v>96.74</v>
          </cell>
          <cell r="F5">
            <v>1.9347999999999999</v>
          </cell>
          <cell r="G5">
            <v>3.8695999999999994E-2</v>
          </cell>
          <cell r="H5">
            <v>50</v>
          </cell>
          <cell r="I5">
            <v>5</v>
          </cell>
          <cell r="J5">
            <v>9.6739999999999995</v>
          </cell>
        </row>
        <row r="6">
          <cell r="A6">
            <v>4</v>
          </cell>
          <cell r="B6" t="str">
            <v>Aureomycin 50</v>
          </cell>
          <cell r="C6" t="str">
            <v>V</v>
          </cell>
          <cell r="D6">
            <v>50</v>
          </cell>
          <cell r="E6">
            <v>70.349999999999994</v>
          </cell>
          <cell r="F6">
            <v>1.4069999999999998</v>
          </cell>
          <cell r="G6">
            <v>2.8139999999999995E-2</v>
          </cell>
          <cell r="H6">
            <v>50</v>
          </cell>
          <cell r="I6">
            <v>8</v>
          </cell>
          <cell r="J6">
            <v>11.255999999999998</v>
          </cell>
        </row>
        <row r="7">
          <cell r="A7">
            <v>5</v>
          </cell>
          <cell r="B7" t="str">
            <v>CTC 50</v>
          </cell>
          <cell r="C7" t="str">
            <v>V</v>
          </cell>
          <cell r="D7">
            <v>50</v>
          </cell>
          <cell r="E7">
            <v>64.8</v>
          </cell>
          <cell r="F7">
            <v>1.296</v>
          </cell>
          <cell r="G7">
            <v>2.5920000000000002E-2</v>
          </cell>
          <cell r="H7">
            <v>50</v>
          </cell>
          <cell r="I7">
            <v>8</v>
          </cell>
          <cell r="J7">
            <v>10.368</v>
          </cell>
        </row>
        <row r="8">
          <cell r="A8">
            <v>6</v>
          </cell>
          <cell r="B8" t="str">
            <v>Denegard 10</v>
          </cell>
          <cell r="C8" t="str">
            <v>V</v>
          </cell>
          <cell r="D8">
            <v>35</v>
          </cell>
          <cell r="E8">
            <v>185.1</v>
          </cell>
          <cell r="F8">
            <v>5.2885714285714283</v>
          </cell>
          <cell r="G8">
            <v>0.5288571428571428</v>
          </cell>
          <cell r="H8">
            <v>10</v>
          </cell>
          <cell r="I8">
            <v>3.5</v>
          </cell>
          <cell r="J8">
            <v>18.509999999999998</v>
          </cell>
        </row>
        <row r="9">
          <cell r="A9">
            <v>7</v>
          </cell>
          <cell r="B9" t="str">
            <v>Linco 20</v>
          </cell>
          <cell r="C9" t="str">
            <v>V</v>
          </cell>
          <cell r="D9">
            <v>50</v>
          </cell>
          <cell r="E9">
            <v>275.41000000000003</v>
          </cell>
          <cell r="F9">
            <v>5.5082000000000004</v>
          </cell>
          <cell r="G9">
            <v>0.27541000000000004</v>
          </cell>
          <cell r="H9">
            <v>20</v>
          </cell>
          <cell r="I9">
            <v>10</v>
          </cell>
          <cell r="J9">
            <v>55.082000000000008</v>
          </cell>
        </row>
        <row r="10">
          <cell r="A10">
            <v>8</v>
          </cell>
          <cell r="B10" t="str">
            <v>Mecadox 2.5</v>
          </cell>
          <cell r="C10" t="str">
            <v>V</v>
          </cell>
          <cell r="D10">
            <v>40</v>
          </cell>
          <cell r="E10">
            <v>44.04</v>
          </cell>
          <cell r="F10">
            <v>1.101</v>
          </cell>
          <cell r="G10">
            <v>0.44040000000000001</v>
          </cell>
          <cell r="H10">
            <v>2.5</v>
          </cell>
          <cell r="I10">
            <v>20</v>
          </cell>
          <cell r="J10">
            <v>22.02</v>
          </cell>
        </row>
        <row r="11">
          <cell r="A11">
            <v>9</v>
          </cell>
          <cell r="B11" t="str">
            <v xml:space="preserve"> CDX/Ban 2.5/48</v>
          </cell>
          <cell r="C11" t="str">
            <v>F</v>
          </cell>
          <cell r="D11">
            <v>40</v>
          </cell>
          <cell r="E11">
            <v>74.69</v>
          </cell>
          <cell r="F11">
            <v>1.8672499999999999</v>
          </cell>
          <cell r="G11">
            <v>0.7468999999999999</v>
          </cell>
          <cell r="H11">
            <v>2.5</v>
          </cell>
          <cell r="I11">
            <v>20</v>
          </cell>
          <cell r="J11">
            <v>37.344999999999999</v>
          </cell>
        </row>
        <row r="12">
          <cell r="A12">
            <v>10</v>
          </cell>
          <cell r="B12" t="str">
            <v>* NeoTerra 10/10</v>
          </cell>
          <cell r="C12" t="str">
            <v>V</v>
          </cell>
          <cell r="D12">
            <v>50</v>
          </cell>
          <cell r="E12">
            <v>47.47</v>
          </cell>
          <cell r="F12">
            <v>0.94940000000000002</v>
          </cell>
          <cell r="G12">
            <v>9.4939999999999997E-2</v>
          </cell>
          <cell r="H12">
            <v>10</v>
          </cell>
          <cell r="I12">
            <v>10</v>
          </cell>
          <cell r="J12">
            <v>9.4939999999999998</v>
          </cell>
        </row>
        <row r="13">
          <cell r="A13">
            <v>11</v>
          </cell>
          <cell r="B13" t="str">
            <v>Terra 50</v>
          </cell>
          <cell r="C13" t="str">
            <v>V</v>
          </cell>
          <cell r="D13">
            <v>50</v>
          </cell>
          <cell r="E13">
            <v>65.290000000000006</v>
          </cell>
          <cell r="F13">
            <v>1.3058000000000001</v>
          </cell>
          <cell r="G13">
            <v>2.6116E-2</v>
          </cell>
          <cell r="H13">
            <v>50</v>
          </cell>
          <cell r="I13">
            <v>10</v>
          </cell>
          <cell r="J13">
            <v>13.058</v>
          </cell>
        </row>
        <row r="14">
          <cell r="A14">
            <v>12</v>
          </cell>
          <cell r="B14" t="str">
            <v>Pen 100</v>
          </cell>
          <cell r="C14" t="str">
            <v>V</v>
          </cell>
          <cell r="D14">
            <v>50</v>
          </cell>
          <cell r="E14">
            <v>496.71</v>
          </cell>
          <cell r="F14">
            <v>9.9341999999999988</v>
          </cell>
          <cell r="G14">
            <v>9.9341999999999986E-2</v>
          </cell>
          <cell r="H14">
            <v>100</v>
          </cell>
          <cell r="I14">
            <v>1</v>
          </cell>
          <cell r="J14">
            <v>9.9341999999999988</v>
          </cell>
        </row>
        <row r="15">
          <cell r="A15">
            <v>13</v>
          </cell>
          <cell r="B15" t="str">
            <v>Stafac 10</v>
          </cell>
          <cell r="C15" t="str">
            <v>V</v>
          </cell>
          <cell r="D15">
            <v>50</v>
          </cell>
          <cell r="E15">
            <v>93.71</v>
          </cell>
          <cell r="F15">
            <v>1.8741999999999999</v>
          </cell>
          <cell r="G15">
            <v>0.18741999999999998</v>
          </cell>
          <cell r="H15">
            <v>10</v>
          </cell>
          <cell r="I15">
            <v>2.5</v>
          </cell>
          <cell r="J15">
            <v>4.6854999999999993</v>
          </cell>
        </row>
        <row r="16">
          <cell r="A16">
            <v>14</v>
          </cell>
          <cell r="B16" t="str">
            <v>Tylan 10</v>
          </cell>
          <cell r="C16" t="str">
            <v>V</v>
          </cell>
          <cell r="D16">
            <v>50</v>
          </cell>
          <cell r="E16">
            <v>70.099999999999994</v>
          </cell>
          <cell r="F16">
            <v>1.4019999999999999</v>
          </cell>
          <cell r="G16">
            <v>0.14019999999999999</v>
          </cell>
          <cell r="H16">
            <v>10</v>
          </cell>
          <cell r="I16">
            <v>4</v>
          </cell>
          <cell r="J16">
            <v>5.6079999999999997</v>
          </cell>
        </row>
        <row r="17">
          <cell r="A17">
            <v>15</v>
          </cell>
          <cell r="B17" t="str">
            <v>Tylan 40</v>
          </cell>
          <cell r="C17" t="str">
            <v>V</v>
          </cell>
          <cell r="D17">
            <v>50</v>
          </cell>
          <cell r="E17">
            <v>260.39</v>
          </cell>
          <cell r="F17">
            <v>5.2077999999999998</v>
          </cell>
          <cell r="G17">
            <v>0.13019500000000001</v>
          </cell>
          <cell r="H17">
            <v>40</v>
          </cell>
          <cell r="I17">
            <v>1</v>
          </cell>
          <cell r="J17">
            <v>5.2077999999999998</v>
          </cell>
        </row>
        <row r="18">
          <cell r="A18">
            <v>16</v>
          </cell>
          <cell r="B18" t="str">
            <v>Tylan Sulfa G</v>
          </cell>
          <cell r="C18" t="str">
            <v>F</v>
          </cell>
          <cell r="D18">
            <v>50</v>
          </cell>
          <cell r="E18">
            <v>89.92</v>
          </cell>
          <cell r="F18">
            <v>1.7984</v>
          </cell>
          <cell r="G18">
            <v>8.992E-2</v>
          </cell>
          <cell r="H18">
            <v>20</v>
          </cell>
          <cell r="I18">
            <v>5</v>
          </cell>
          <cell r="J18">
            <v>8.9920000000000009</v>
          </cell>
        </row>
        <row r="19">
          <cell r="A19">
            <v>17</v>
          </cell>
          <cell r="B19" t="str">
            <v>Pulmotil</v>
          </cell>
          <cell r="C19" t="str">
            <v>V</v>
          </cell>
          <cell r="D19">
            <v>10</v>
          </cell>
          <cell r="E19">
            <v>64.650000000000006</v>
          </cell>
          <cell r="F19">
            <v>6.4650000000000007</v>
          </cell>
          <cell r="G19">
            <v>0.35718232044198894</v>
          </cell>
          <cell r="H19">
            <v>18.100000000000001</v>
          </cell>
          <cell r="I19">
            <v>10</v>
          </cell>
          <cell r="J19">
            <v>64.650000000000006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Hilario Cordoba" id="{15E6B7D9-19F2-4368-BAC0-7FA1BDDD71D3}" userId="Hilario Cordoba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G7" dT="2022-03-01T19:46:10.38" personId="{15E6B7D9-19F2-4368-BAC0-7FA1BDDD71D3}" id="{2560A1A9-10B1-4991-8DD8-56A07F571A11}">
    <text>Updated using Stein's lab values</text>
  </threadedComment>
  <threadedComment ref="EG10" dT="2022-03-19T17:11:14.12" personId="{15E6B7D9-19F2-4368-BAC0-7FA1BDDD71D3}" id="{ED3970D7-BC0D-4890-8596-F9CCDEAF85A1}">
    <text>CVB 2016</text>
  </threadedComment>
  <threadedComment ref="EG11" dT="2022-03-19T17:11:35.92" personId="{15E6B7D9-19F2-4368-BAC0-7FA1BDDD71D3}" id="{3E970242-9257-42B9-9025-69F8DFD0EB93}">
    <text>Stein Lab</text>
  </threadedComment>
  <threadedComment ref="EG12" dT="2022-03-19T17:11:43.77" personId="{15E6B7D9-19F2-4368-BAC0-7FA1BDDD71D3}" id="{85E2C003-F0DD-4946-BCCE-15402E0C136B}">
    <text>Stein Lab</text>
  </threadedComment>
  <threadedComment ref="EG13" dT="2022-03-19T17:11:54.77" personId="{15E6B7D9-19F2-4368-BAC0-7FA1BDDD71D3}" id="{5528DC87-0D1F-4F1F-BDEB-A54797BFE9F4}">
    <text>NRC 2012</text>
  </threadedComment>
  <threadedComment ref="EG14" dT="2022-03-19T17:12:06.95" personId="{15E6B7D9-19F2-4368-BAC0-7FA1BDDD71D3}" id="{57EA41D3-E707-439F-ADAA-40CFA77906FD}">
    <text>NRC 2012</text>
  </threadedComment>
  <threadedComment ref="EG17" dT="2022-03-19T17:12:18.41" personId="{15E6B7D9-19F2-4368-BAC0-7FA1BDDD71D3}" id="{8E1F8F57-012A-42BE-880B-8FAD6C90C9ED}">
    <text>NRC 2012</text>
  </threadedComment>
  <threadedComment ref="EG18" dT="2022-03-19T17:12:27.16" personId="{15E6B7D9-19F2-4368-BAC0-7FA1BDDD71D3}" id="{5E4CB7C9-008B-4848-A949-70AF90B89235}">
    <text>NRC 2012</text>
  </threadedComment>
  <threadedComment ref="EG19" dT="2022-03-19T17:12:41.33" personId="{15E6B7D9-19F2-4368-BAC0-7FA1BDDD71D3}" id="{F32932D9-817E-49E2-A11C-EBA0238C7577}">
    <text>Stein Lab</text>
  </threadedComment>
  <threadedComment ref="EG20" dT="2022-03-19T17:13:39.95" personId="{15E6B7D9-19F2-4368-BAC0-7FA1BDDD71D3}" id="{D83EB5DA-C2C6-4DD3-BD35-854B28672A65}">
    <text>Stein Lab</text>
  </threadedComment>
  <threadedComment ref="EG21" dT="2022-03-19T17:13:51.61" personId="{15E6B7D9-19F2-4368-BAC0-7FA1BDDD71D3}" id="{93C60B68-E334-49FC-9FDD-C9D776811322}">
    <text>NRC 2012</text>
  </threadedComment>
  <threadedComment ref="EG22" dT="2022-03-19T17:14:03.30" personId="{15E6B7D9-19F2-4368-BAC0-7FA1BDDD71D3}" id="{9E5873CD-EF1B-40DA-8701-010348F03D15}">
    <text>NRC 2012</text>
  </threadedComment>
  <threadedComment ref="EG23" dT="2022-03-19T17:14:14.72" personId="{15E6B7D9-19F2-4368-BAC0-7FA1BDDD71D3}" id="{105F4F04-E468-447B-91C1-E51204A20F47}">
    <text>Stein Lab</text>
  </threadedComment>
  <threadedComment ref="EG24" dT="2022-03-19T17:14:28.68" personId="{15E6B7D9-19F2-4368-BAC0-7FA1BDDD71D3}" id="{5C38DE7E-E6F8-4784-9CE4-0D2B8A32D23A}">
    <text>Stein Lab</text>
  </threadedComment>
  <threadedComment ref="EG25" dT="2022-03-19T17:14:38.72" personId="{15E6B7D9-19F2-4368-BAC0-7FA1BDDD71D3}" id="{15007171-D675-40C8-9529-FE65BC01C49B}">
    <text>NRC 2012</text>
  </threadedComment>
  <threadedComment ref="EG26" dT="2022-03-19T17:14:50.33" personId="{15E6B7D9-19F2-4368-BAC0-7FA1BDDD71D3}" id="{222BBE94-B749-4163-A1CC-15E46828D395}">
    <text>CVB 2016</text>
  </threadedComment>
  <threadedComment ref="EG27" dT="2022-03-19T17:15:04.45" personId="{15E6B7D9-19F2-4368-BAC0-7FA1BDDD71D3}" id="{DF043F51-667C-4D03-B5CC-0EA622576EC4}">
    <text>Stein Lab</text>
  </threadedComment>
  <threadedComment ref="EG28" dT="2022-03-19T17:15:14.49" personId="{15E6B7D9-19F2-4368-BAC0-7FA1BDDD71D3}" id="{80FEE979-58A7-4F51-B037-EFA84B78296F}">
    <text>Stein Lab</text>
  </threadedComment>
  <threadedComment ref="EG29" dT="2022-03-19T17:15:17.44" personId="{15E6B7D9-19F2-4368-BAC0-7FA1BDDD71D3}" id="{6B84ACC0-8068-48F7-9BC5-34D57910797A}">
    <text>Stein Lab</text>
  </threadedComment>
  <threadedComment ref="EG30" dT="2022-03-19T17:15:21.32" personId="{15E6B7D9-19F2-4368-BAC0-7FA1BDDD71D3}" id="{FA923CE8-B2BC-47EA-9D59-7DCC9C8AD7D2}">
    <text>Stein Lab</text>
  </threadedComment>
  <threadedComment ref="EG31" dT="2022-03-19T17:15:26.85" personId="{15E6B7D9-19F2-4368-BAC0-7FA1BDDD71D3}" id="{B5115C7E-D796-4E42-9F1A-072AF36FF306}">
    <text>Stein Lab</text>
  </threadedComment>
  <threadedComment ref="EG32" dT="2022-03-19T17:15:31.76" personId="{15E6B7D9-19F2-4368-BAC0-7FA1BDDD71D3}" id="{7AE5A642-66C6-4AC4-8001-81B7BA0345FC}">
    <text>Stein Lab</text>
  </threadedComment>
  <threadedComment ref="EG33" dT="2022-03-19T17:15:37.19" personId="{15E6B7D9-19F2-4368-BAC0-7FA1BDDD71D3}" id="{E3AAF264-9E5E-4424-85AB-8A647C3F92D0}">
    <text>Stein Lab</text>
  </threadedComment>
  <threadedComment ref="EG34" dT="2022-03-19T17:15:48.06" personId="{15E6B7D9-19F2-4368-BAC0-7FA1BDDD71D3}" id="{CDFAEC21-8CB7-4F81-9132-05E35CDAABB1}">
    <text>Stein Lab</text>
  </threadedComment>
  <threadedComment ref="EG35" dT="2022-03-19T17:16:01.20" personId="{15E6B7D9-19F2-4368-BAC0-7FA1BDDD71D3}" id="{1BBEC8B7-D254-4F9E-BF32-07A92FB4F011}">
    <text>Stein Lab</text>
  </threadedComment>
  <threadedComment ref="EG36" dT="2022-03-19T17:16:08.88" personId="{15E6B7D9-19F2-4368-BAC0-7FA1BDDD71D3}" id="{F9AE1A51-C221-4CFE-B3B3-3D9A29802E58}">
    <text>Stein Lab</text>
  </threadedComment>
  <threadedComment ref="EG37" dT="2022-03-19T17:16:32.06" personId="{15E6B7D9-19F2-4368-BAC0-7FA1BDDD71D3}" id="{6DD53539-4490-40E5-99DB-1DEBF7799E6D}">
    <text>CVB 2016</text>
  </threadedComment>
  <threadedComment ref="EG38" dT="2022-03-19T17:16:17.29" personId="{15E6B7D9-19F2-4368-BAC0-7FA1BDDD71D3}" id="{B58EBF93-767A-43C9-AF0B-E06A1DE43FFD}">
    <text>Stein Lab</text>
  </threadedComment>
  <threadedComment ref="EG41" dT="2022-03-19T16:46:28.41" personId="{15E6B7D9-19F2-4368-BAC0-7FA1BDDD71D3}" id="{AB9D7AF0-E1DB-443C-B2FA-19B025287EB8}">
    <text>Calculated using the ratio of Phytate:Total P reported by IRTA (0.707) but using the total phosphorus from NRC 2012</text>
  </threadedComment>
  <threadedComment ref="EG42" dT="2022-03-19T16:46:34.39" personId="{15E6B7D9-19F2-4368-BAC0-7FA1BDDD71D3}" id="{3BA8EADA-15D6-41FF-99FA-8AA18EAA7320}">
    <text>Calculated using the ratio of Phytate:Total P reported by IRTA (0.647) but using the total phosphorus from NRC 2012</text>
  </threadedComment>
  <threadedComment ref="EG43" dT="2022-03-19T17:16:43.42" personId="{15E6B7D9-19F2-4368-BAC0-7FA1BDDD71D3}" id="{742A9C95-FDF4-4885-A22A-E2A48F17BC97}">
    <text>NRC 2012</text>
  </threadedComment>
  <threadedComment ref="EG52" dT="2022-03-19T17:16:56.13" personId="{15E6B7D9-19F2-4368-BAC0-7FA1BDDD71D3}" id="{94BE9CBD-E66D-453B-8A87-33273DAFBF96}">
    <text>CVB 2016</text>
  </threadedComment>
  <threadedComment ref="EG53" dT="2022-03-19T17:17:08.81" personId="{15E6B7D9-19F2-4368-BAC0-7FA1BDDD71D3}" id="{FAE59F4B-4065-4D26-8E67-ECEE2AF47962}">
    <text>CVB 2016</text>
  </threadedComment>
  <threadedComment ref="EG54" dT="2022-03-19T17:17:15.33" personId="{15E6B7D9-19F2-4368-BAC0-7FA1BDDD71D3}" id="{71E73E0E-EFD5-4AE0-ADE1-FD6FF673DDDE}">
    <text>NRC 2012</text>
  </threadedComment>
  <threadedComment ref="EG55" dT="2022-03-19T17:17:25.42" personId="{15E6B7D9-19F2-4368-BAC0-7FA1BDDD71D3}" id="{8EE142F7-C4E7-4500-9CFF-DF56D6231F32}">
    <text>Stein Lab</text>
  </threadedComment>
  <threadedComment ref="EG56" dT="2022-03-18T18:16:40.22" personId="{15E6B7D9-19F2-4368-BAC0-7FA1BDDD71D3}" id="{0CB5CEE5-6963-46AA-B6CE-C3A5C5B8AE76}">
    <text>Calculated by using Phytate:Total P content of Oats (0.543)</text>
  </threadedComment>
  <threadedComment ref="EG57" dT="2022-03-19T17:17:50.04" personId="{15E6B7D9-19F2-4368-BAC0-7FA1BDDD71D3}" id="{33CEB0A8-BE8C-4B15-A7C0-A4234CAF708C}">
    <text>FEDNA 2019</text>
  </threadedComment>
  <threadedComment ref="EG58" dT="2022-03-19T17:18:08.78" personId="{15E6B7D9-19F2-4368-BAC0-7FA1BDDD71D3}" id="{66406BAE-1BD0-4097-818C-C3DBDB615825}">
    <text>Brazilian tables 2017</text>
  </threadedComment>
  <threadedComment ref="EG59" dT="2022-03-18T18:22:33.62" personId="{15E6B7D9-19F2-4368-BAC0-7FA1BDDD71D3}" id="{1F3899FC-2DDB-411D-B37A-CB383BB9B1F6}">
    <text>Calculated by using Phytate:Total P content of Peanut Meal, Expelled. (0.666)</text>
  </threadedComment>
  <threadedComment ref="EG60" dT="2022-03-19T17:18:28.67" personId="{15E6B7D9-19F2-4368-BAC0-7FA1BDDD71D3}" id="{C2C1E177-81C3-4E6B-A2E9-0BF958137775}">
    <text>NRC 2012</text>
  </threadedComment>
  <threadedComment ref="BX61" dT="2022-03-19T16:27:18.49" personId="{15E6B7D9-19F2-4368-BAC0-7FA1BDDD71D3}" id="{F1724A6E-ED63-44AD-ACEC-24F0A54264B6}">
    <text>Source: INRA</text>
  </threadedComment>
  <threadedComment ref="EG61" dT="2022-03-18T18:24:21.94" personId="{15E6B7D9-19F2-4368-BAC0-7FA1BDDD71D3}" id="{B123477F-CE85-44DB-86D0-97E295ADA32C}">
    <text>Calculated by using Phytate:Total P content of field peas (0.405)</text>
  </threadedComment>
  <threadedComment ref="BX62" dT="2022-03-19T16:58:14.15" personId="{15E6B7D9-19F2-4368-BAC0-7FA1BDDD71D3}" id="{41693A69-6A68-4A6F-8DE7-C525E73A85A6}">
    <text>Source: INRA</text>
  </threadedComment>
  <threadedComment ref="EG62" dT="2022-03-18T18:26:16.20" personId="{15E6B7D9-19F2-4368-BAC0-7FA1BDDD71D3}" id="{893D4AE5-BB55-4EDA-9062-DD6172AE3243}">
    <text>Soruce: INRA</text>
  </threadedComment>
  <threadedComment ref="EG64" dT="2022-03-19T17:18:39.41" personId="{15E6B7D9-19F2-4368-BAC0-7FA1BDDD71D3}" id="{A691FF1B-B769-493D-8959-BCA02A665384}">
    <text>NRC 2012</text>
  </threadedComment>
  <threadedComment ref="EG65" dT="2022-03-19T17:18:47.87" personId="{15E6B7D9-19F2-4368-BAC0-7FA1BDDD71D3}" id="{8AFB1428-276A-4C6B-8A38-13877D66C932}">
    <text>Stein Lab</text>
  </threadedComment>
  <threadedComment ref="EG66" dT="2022-03-19T17:18:55.14" personId="{15E6B7D9-19F2-4368-BAC0-7FA1BDDD71D3}" id="{4F8377FA-B80E-4580-9786-96B46A4DA1AB}">
    <text>Stein Lab</text>
  </threadedComment>
  <threadedComment ref="EG67" dT="2022-03-19T17:19:05.19" personId="{15E6B7D9-19F2-4368-BAC0-7FA1BDDD71D3}" id="{F68ED72D-E101-4950-96D7-81B50641251D}">
    <text>Stein Lab</text>
  </threadedComment>
  <threadedComment ref="EG68" dT="2022-03-19T17:19:26.98" personId="{15E6B7D9-19F2-4368-BAC0-7FA1BDDD71D3}" id="{69D8B2CA-23EC-42B8-A47B-0E9C3D7520F5}">
    <text>NRC 2012</text>
  </threadedComment>
  <threadedComment ref="EG69" dT="2022-03-19T17:19:36.16" personId="{15E6B7D9-19F2-4368-BAC0-7FA1BDDD71D3}" id="{CD6580AA-CEB0-411D-8983-621CEB1FEBDA}">
    <text>NRC 2012</text>
  </threadedComment>
  <threadedComment ref="EG70" dT="2022-03-19T17:19:43.94" personId="{15E6B7D9-19F2-4368-BAC0-7FA1BDDD71D3}" id="{AF4B4C8A-399C-4EAE-897F-8B2E0D59D5FE}">
    <text>Stein Lab</text>
  </threadedComment>
  <threadedComment ref="EG71" dT="2022-03-19T17:20:03.79" personId="{15E6B7D9-19F2-4368-BAC0-7FA1BDDD71D3}" id="{819AAB10-B9E0-494D-A1E8-0DAB9DACFAD4}">
    <text>NRC 2012</text>
  </threadedComment>
  <threadedComment ref="EG72" dT="2022-03-18T18:19:12.97" personId="{15E6B7D9-19F2-4368-BAC0-7FA1BDDD71D3}" id="{C813BE3B-8E5E-4958-B035-979125CBAB3C}">
    <text>Calculated by using Phytate:Total P content of SBM Dehull Sol. Ext. (0.662)</text>
  </threadedComment>
  <threadedComment ref="EG73" dT="2022-03-18T18:19:35.45" personId="{15E6B7D9-19F2-4368-BAC0-7FA1BDDD71D3}" id="{ADB7444F-A0AA-4E43-BE00-F9764B9FF9EC}">
    <text>Calculated by using Phytate:Total P content of SBM Dehull Sol. Ext. (0.662)</text>
  </threadedComment>
  <threadedComment ref="EG74" dT="2022-03-18T18:19:40.43" personId="{15E6B7D9-19F2-4368-BAC0-7FA1BDDD71D3}" id="{31C64AD3-8337-418F-82EE-FCD4E7DE3DE1}">
    <text>Calculated by using Phytate:Total P content of SBM Dehull Sol. Ext. (0.662)</text>
  </threadedComment>
  <threadedComment ref="EG75" dT="2022-03-18T18:19:44.13" personId="{15E6B7D9-19F2-4368-BAC0-7FA1BDDD71D3}" id="{954AC317-6E02-4F70-9137-051D08A53BD7}">
    <text>Calculated by using Phytate:Total P content of SBM Dehull Sol. Ext. (0.662)</text>
  </threadedComment>
  <threadedComment ref="EG76" dT="2022-03-19T17:20:49.93" personId="{15E6B7D9-19F2-4368-BAC0-7FA1BDDD71D3}" id="{DA033630-0FFC-46B7-BF57-DE21BA2DF220}">
    <text>CVB 2016</text>
  </threadedComment>
  <threadedComment ref="EG77" dT="2022-03-19T17:21:00.59" personId="{15E6B7D9-19F2-4368-BAC0-7FA1BDDD71D3}" id="{365BAB8D-ECF0-4F40-ADD5-F561976F30DE}">
    <text>NRC 2012</text>
  </threadedComment>
  <threadedComment ref="EG78" dT="2022-03-19T17:22:01.77" personId="{15E6B7D9-19F2-4368-BAC0-7FA1BDDD71D3}" id="{C7DE922A-3F7D-4BF3-8DEE-218FCBD7EB28}">
    <text>NRC</text>
  </threadedComment>
  <threadedComment ref="EG79" dT="2022-03-19T17:22:11.70" personId="{15E6B7D9-19F2-4368-BAC0-7FA1BDDD71D3}" id="{70D3D3F9-BC9B-483D-AF1E-54582FE81075}">
    <text>Stein Lab</text>
  </threadedComment>
  <threadedComment ref="EG80" dT="2022-03-19T17:22:42.94" personId="{15E6B7D9-19F2-4368-BAC0-7FA1BDDD71D3}" id="{7C415DF8-E161-48B3-B50D-7EA9C3A9652C}">
    <text>Stein Lab</text>
  </threadedComment>
  <threadedComment ref="EG81" dT="2022-03-18T18:19:54.36" personId="{15E6B7D9-19F2-4368-BAC0-7FA1BDDD71D3}" id="{A398681D-8424-4F3D-8E93-D9BB28167AA5}">
    <text>Calculated by using Phytate:Total P content of SBM Dehull Sol. Ext. (0.662)</text>
  </threadedComment>
  <threadedComment ref="EG82" dT="2022-03-19T17:22:49.93" personId="{15E6B7D9-19F2-4368-BAC0-7FA1BDDD71D3}" id="{49F9AFB4-8D0A-4A16-9627-A61360991D4E}">
    <text>Stein Lab</text>
  </threadedComment>
  <threadedComment ref="EG83" dT="2022-03-19T17:23:07.80" personId="{15E6B7D9-19F2-4368-BAC0-7FA1BDDD71D3}" id="{42FA82E3-E3BD-4EE4-8D41-576D17F2950A}">
    <text>NRC 2012</text>
  </threadedComment>
  <threadedComment ref="EG84" dT="2022-03-19T17:23:22.77" personId="{15E6B7D9-19F2-4368-BAC0-7FA1BDDD71D3}" id="{0D16897F-F79D-4FD6-96F1-FA31F0D1835E}">
    <text>Stein Lab</text>
  </threadedComment>
  <threadedComment ref="EG85" dT="2022-03-18T18:20:04.07" personId="{15E6B7D9-19F2-4368-BAC0-7FA1BDDD71D3}" id="{0258BDD7-D2CC-49C9-B874-93D94F5C2037}">
    <text>Calculated by using Phytate:Total P content of SBM Dehull Sol. Ext. (0.662)</text>
  </threadedComment>
  <threadedComment ref="EG86" dT="2022-03-19T17:23:40.71" personId="{15E6B7D9-19F2-4368-BAC0-7FA1BDDD71D3}" id="{64D4862C-C39D-4BDB-9817-CFF0F770CD65}">
    <text>Stein Lab</text>
  </threadedComment>
  <threadedComment ref="EG87" dT="2022-03-19T17:23:58.71" personId="{15E6B7D9-19F2-4368-BAC0-7FA1BDDD71D3}" id="{BDD303DB-F2EC-4676-AA49-3033CE3BA616}">
    <text>Stein Lab</text>
  </threadedComment>
  <threadedComment ref="EG88" dT="2022-03-19T17:24:10.32" personId="{15E6B7D9-19F2-4368-BAC0-7FA1BDDD71D3}" id="{C0EBEF1B-9C7E-45F1-8F18-CB6ED4C0C7A0}">
    <text>NRC 2012</text>
  </threadedComment>
  <threadedComment ref="EG89" dT="2022-03-19T17:24:50.24" personId="{15E6B7D9-19F2-4368-BAC0-7FA1BDDD71D3}" id="{5A6EE565-5953-4077-BCCB-637FD4FA5CF1}">
    <text>NRC 2012</text>
  </threadedComment>
  <threadedComment ref="EG90" dT="2022-03-19T17:24:57.56" personId="{15E6B7D9-19F2-4368-BAC0-7FA1BDDD71D3}" id="{44DB574F-1F73-488C-8AB7-D45558CDA236}">
    <text>Stein Lab</text>
  </threadedComment>
  <threadedComment ref="EG91" dT="2022-03-19T17:25:07.69" personId="{15E6B7D9-19F2-4368-BAC0-7FA1BDDD71D3}" id="{52377392-C17E-44C5-B7A4-8FA63E1DF5BF}">
    <text>Stein Lab</text>
  </threadedComment>
  <threadedComment ref="EG92" dT="2022-03-19T17:25:14.08" personId="{15E6B7D9-19F2-4368-BAC0-7FA1BDDD71D3}" id="{648EAD8A-DF16-45BF-AC37-938BF2A0AE98}">
    <text>Stein Lab</text>
  </threadedComment>
  <threadedComment ref="EG93" dT="2022-03-19T17:25:23.86" personId="{15E6B7D9-19F2-4368-BAC0-7FA1BDDD71D3}" id="{F33BA5FD-61B4-4A54-96F9-C385354A4412}">
    <text>NRC 2012</text>
  </threadedComment>
  <threadedComment ref="EG94" dT="2022-03-19T17:25:34.73" personId="{15E6B7D9-19F2-4368-BAC0-7FA1BDDD71D3}" id="{0F1ACE29-C69A-4548-B0BC-928960428029}">
    <text>NRC 2012</text>
  </threadedComment>
  <threadedComment ref="EG95" dT="2022-03-18T18:28:16.14" personId="{15E6B7D9-19F2-4368-BAC0-7FA1BDDD71D3}" id="{3AD5EACF-51AD-4589-BC3D-E10230A66ABA}">
    <text>Brazilian tables</text>
  </threadedComment>
  <threadedComment ref="EG96" dT="2022-03-19T17:25:44.04" personId="{15E6B7D9-19F2-4368-BAC0-7FA1BDDD71D3}" id="{D736E91C-4C82-40B8-A7AE-80BCB1A9DC63}">
    <text>NRC 2012</text>
  </threadedComment>
  <threadedComment ref="EG97" dT="2022-03-19T17:25:53.55" personId="{15E6B7D9-19F2-4368-BAC0-7FA1BDDD71D3}" id="{6D434380-34AE-461A-A73C-2CCDCCE18BC6}">
    <text>Stein Lab</text>
  </threadedComment>
  <threadedComment ref="EG98" dT="2022-03-19T17:02:07.75" personId="{15E6B7D9-19F2-4368-BAC0-7FA1BDDD71D3}" id="{41DCDF53-EB83-4EA0-A038-B76D9EC03245}">
    <text>Calculated by using Phytate:Total P content of Brewer's yeast. (0.207)</text>
  </threadedComment>
  <threadedComment ref="B173" dT="2022-03-02T15:55:10.27" personId="{15E6B7D9-19F2-4368-BAC0-7FA1BDDD71D3}" id="{336AD977-5E37-4D8B-82DC-399D09118882}">
    <text>Data was provided by Hamlet</text>
  </threadedComment>
  <threadedComment ref="E173" dT="2022-03-02T15:55:36.05" personId="{15E6B7D9-19F2-4368-BAC0-7FA1BDDD71D3}" id="{60CA5772-0ED2-4DE2-BEC2-E7123A37A362}">
    <text>NRC equation</text>
  </threadedComment>
  <threadedComment ref="F173" dT="2022-03-02T15:55:52.93" personId="{15E6B7D9-19F2-4368-BAC0-7FA1BDDD71D3}" id="{EBC8133C-7292-488D-8113-AE09DA2CF740}">
    <text>NRC equation</text>
  </threadedComment>
  <threadedComment ref="B179" dT="2022-02-03T16:09:51.61" personId="{15E6B7D9-19F2-4368-BAC0-7FA1BDDD71D3}" id="{DAA99A8C-B5F9-48C9-8272-53BB114A00C1}">
    <text>Hubbard has the same values loaded.</text>
  </threadedComment>
  <threadedComment ref="B181" dT="2022-02-01T19:40:24.00" personId="{15E6B7D9-19F2-4368-BAC0-7FA1BDDD71D3}" id="{EFDDCBF3-F838-4017-9BDD-53917610A875}">
    <text>SID AA are entered by hand in the ingredient from NFP.</text>
  </threadedComment>
  <threadedComment ref="B185" dT="2022-02-01T20:13:58.72" personId="{15E6B7D9-19F2-4368-BAC0-7FA1BDDD71D3}" id="{C7B4EC4A-1639-4061-A1DC-4BF507C9FA65}">
    <text>Avail P, % was entered by hand by NFP</text>
  </threadedComment>
  <threadedComment ref="B189" dT="2022-02-01T22:44:05.96" personId="{15E6B7D9-19F2-4368-BAC0-7FA1BDDD71D3}" id="{B8820E34-4611-40DB-BDD6-6B57EDE139FA}">
    <text>No values were reported</text>
  </threadedComment>
  <threadedComment ref="B190" dT="2022-02-03T16:28:59.06" personId="{15E6B7D9-19F2-4368-BAC0-7FA1BDDD71D3}" id="{DD98B53A-A500-42E5-A5CD-E632E8A888FC}">
    <text>Ethan used in his trial new values provided by NFP. Should we update those here?</text>
  </threadedComment>
  <threadedComment ref="B191" dT="2022-02-01T23:02:43.15" personId="{15E6B7D9-19F2-4368-BAC0-7FA1BDDD71D3}" id="{AF8E2732-F3CC-4F76-9864-8B42424B771C}">
    <text>No values were reported</text>
  </threadedComment>
  <threadedComment ref="B207" dT="2022-02-03T17:15:37.28" personId="{15E6B7D9-19F2-4368-BAC0-7FA1BDDD71D3}" id="{59B421BB-AE53-4DE8-AAAF-CD55B8E3DED5}">
    <text>Total AA and Digst. will match once the MEPRO be updated.</text>
  </threadedComment>
  <threadedComment ref="B209" dT="2022-02-10T13:51:14.18" personId="{15E6B7D9-19F2-4368-BAC0-7FA1BDDD71D3}" id="{457B45DD-D0F6-41FD-BC0F-358779E35427}">
    <text>It also contains 11,340 mcg of 25-Hydroxyvitamin D3 and 206mg/lb of Thiamine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BV49"/>
  <sheetViews>
    <sheetView tabSelected="1" zoomScale="90" zoomScaleNormal="90" workbookViewId="0">
      <selection activeCell="E55" sqref="E55"/>
    </sheetView>
  </sheetViews>
  <sheetFormatPr baseColWidth="10" defaultColWidth="8.83203125" defaultRowHeight="14" x14ac:dyDescent="0.2"/>
  <cols>
    <col min="1" max="1" width="4.5" style="463" customWidth="1"/>
    <col min="2" max="2" width="56.33203125" style="463" customWidth="1"/>
    <col min="3" max="3" width="16.5" style="463" customWidth="1"/>
    <col min="4" max="4" width="14" style="463" customWidth="1"/>
    <col min="5" max="5" width="16.5" style="463" customWidth="1"/>
    <col min="6" max="6" width="12.83203125" style="463" customWidth="1"/>
    <col min="7" max="7" width="16.1640625" style="463" customWidth="1"/>
    <col min="8" max="8" width="12.1640625" style="463" customWidth="1"/>
    <col min="9" max="9" width="12" style="463" customWidth="1"/>
    <col min="10" max="10" width="10.5" style="463" customWidth="1"/>
    <col min="11" max="11" width="2.5" style="463" customWidth="1"/>
    <col min="12" max="12" width="14.5" style="463" customWidth="1"/>
    <col min="13" max="17" width="8.83203125" style="463"/>
    <col min="18" max="18" width="33" style="463" customWidth="1"/>
    <col min="19" max="19" width="8.83203125" style="463"/>
    <col min="20" max="20" width="11" style="463" bestFit="1" customWidth="1"/>
    <col min="21" max="24" width="8.83203125" style="463"/>
    <col min="25" max="26" width="8.83203125" style="463" customWidth="1"/>
    <col min="27" max="27" width="19.33203125" style="463" customWidth="1"/>
    <col min="28" max="28" width="13.1640625" style="463" customWidth="1"/>
    <col min="29" max="29" width="12.6640625" style="463" hidden="1" customWidth="1"/>
    <col min="30" max="30" width="8.83203125" style="463" hidden="1" customWidth="1"/>
    <col min="31" max="32" width="8.83203125" style="463" customWidth="1"/>
    <col min="33" max="33" width="15.5" style="463" customWidth="1"/>
    <col min="34" max="34" width="5.1640625" style="463" customWidth="1"/>
    <col min="35" max="36" width="8.83203125" style="463" customWidth="1"/>
    <col min="37" max="37" width="15.5" style="463" customWidth="1"/>
    <col min="38" max="38" width="8.83203125" style="463" customWidth="1"/>
    <col min="39" max="16384" width="8.83203125" style="463"/>
  </cols>
  <sheetData>
    <row r="1" spans="1:74" ht="33.75" customHeight="1" x14ac:dyDescent="0.45">
      <c r="A1" s="467"/>
      <c r="B1" s="410" t="s">
        <v>557</v>
      </c>
      <c r="C1" s="410"/>
      <c r="D1" s="467"/>
      <c r="E1" s="403"/>
      <c r="F1" s="403"/>
      <c r="G1" s="403"/>
      <c r="H1" s="467"/>
      <c r="I1" s="467"/>
      <c r="J1" s="467"/>
      <c r="AA1" s="464"/>
      <c r="AC1" s="463" t="s">
        <v>568</v>
      </c>
      <c r="AD1" s="463" t="s">
        <v>548</v>
      </c>
      <c r="BP1" s="404"/>
      <c r="BQ1" s="502" t="s">
        <v>381</v>
      </c>
      <c r="BR1" s="502"/>
      <c r="BT1" s="404"/>
      <c r="BU1" s="503" t="s">
        <v>554</v>
      </c>
      <c r="BV1" s="502"/>
    </row>
    <row r="2" spans="1:74" ht="22" customHeight="1" x14ac:dyDescent="0.45">
      <c r="D2" s="473"/>
      <c r="E2" s="474"/>
      <c r="F2" s="474"/>
      <c r="G2" s="474"/>
      <c r="O2" s="467"/>
      <c r="AA2" s="464"/>
      <c r="AC2" s="463" t="s">
        <v>569</v>
      </c>
      <c r="AD2" s="463" t="s">
        <v>553</v>
      </c>
      <c r="BP2" s="482" t="s">
        <v>558</v>
      </c>
      <c r="BQ2" s="479" t="s">
        <v>555</v>
      </c>
      <c r="BR2" s="407" t="s">
        <v>473</v>
      </c>
      <c r="BT2" s="482" t="s">
        <v>558</v>
      </c>
      <c r="BU2" s="407" t="s">
        <v>472</v>
      </c>
      <c r="BV2" s="407" t="s">
        <v>473</v>
      </c>
    </row>
    <row r="3" spans="1:74" ht="19" x14ac:dyDescent="0.25">
      <c r="C3" s="468" t="s">
        <v>474</v>
      </c>
      <c r="D3" s="469">
        <v>7</v>
      </c>
      <c r="E3" s="470">
        <f>IF(E4="$/ton",D3/56*2000,IF(E4="$/tonne",D3/56*2200,""))</f>
        <v>275</v>
      </c>
      <c r="G3" s="485" t="s">
        <v>548</v>
      </c>
      <c r="H3" s="471">
        <v>1.45</v>
      </c>
      <c r="I3" s="468" t="s">
        <v>546</v>
      </c>
      <c r="BP3" s="465">
        <v>25</v>
      </c>
      <c r="BQ3" s="409">
        <f>IF(BP3="","",0.0002611*(BP3^2)-0.0711037*(BP3)+7.284)</f>
        <v>5.6695949999999993</v>
      </c>
      <c r="BR3" s="409">
        <f>IF(BP3="","",'IOFC Calculations'!$K$32*(BP3^2))+('IOFC Calculations'!$L$32*BP3)+'IOFC Calculations'!$M$32</f>
        <v>4.2001449282734553</v>
      </c>
      <c r="BT3" s="483">
        <v>25</v>
      </c>
      <c r="BU3" s="409">
        <f>IF($B$15="Start weight, lb",C$13*2.2046*BQ3/10000,C$13*BQ3/10000)</f>
        <v>1.4996078774999999</v>
      </c>
      <c r="BV3" s="409">
        <f>IF(BT3="","",IF($B$15="Start weight, lb",$C$13*2.2046*BR3/10000,$C$13*BR3/10000))</f>
        <v>1.1109383335283289</v>
      </c>
    </row>
    <row r="4" spans="1:74" ht="19" x14ac:dyDescent="0.25">
      <c r="C4" s="468" t="s">
        <v>549</v>
      </c>
      <c r="D4" s="471">
        <v>440</v>
      </c>
      <c r="E4" s="468" t="s">
        <v>545</v>
      </c>
      <c r="G4" s="487" t="s">
        <v>569</v>
      </c>
      <c r="BP4" s="465">
        <v>50</v>
      </c>
      <c r="BQ4" s="409">
        <f t="shared" ref="BQ4:BQ8" si="0">IF(BP4="","",0.0002611*(BP4^2)-0.0711037*(BP4)+7.284)</f>
        <v>4.3815650000000002</v>
      </c>
      <c r="BR4" s="409">
        <f>IF(BP4="","",('IOFC Calculations'!$K$32*(BP4^2))+('IOFC Calculations'!$L$32*BP4)+'IOFC Calculations'!$M$32)</f>
        <v>3.4077188583070255</v>
      </c>
      <c r="BT4" s="483">
        <v>50</v>
      </c>
      <c r="BU4" s="409">
        <f>IF(D13&gt;0,IF($B$15="Start weight, lb",D$13*2.2046*BQ4/10000,D$13*BQ4/10000),IF($B$15="Start weight, lb",C$13*2.2046*BQ4/10000,C$13*BQ4/10000))</f>
        <v>1.1589239425</v>
      </c>
      <c r="BV4" s="409">
        <f t="shared" ref="BV4:BV8" si="1">IF(BT4="","",IF($B$15="Start weight, lb",$C$13*2.2046*BR4/10000,$C$13*BR4/10000))</f>
        <v>0.90134163802220824</v>
      </c>
    </row>
    <row r="5" spans="1:74" ht="19" x14ac:dyDescent="0.25">
      <c r="C5" s="468" t="s">
        <v>550</v>
      </c>
      <c r="D5" s="469">
        <v>616</v>
      </c>
      <c r="E5" s="468" t="s">
        <v>545</v>
      </c>
      <c r="BP5" s="465">
        <v>75</v>
      </c>
      <c r="BQ5" s="409">
        <f t="shared" si="0"/>
        <v>3.4199099999999989</v>
      </c>
      <c r="BR5" s="409">
        <f>IF(BP5="","",('IOFC Calculations'!$K$32*(BP5^2))+('IOFC Calculations'!$L$32*BP5)+'IOFC Calculations'!$M$32)</f>
        <v>2.8631242442988514</v>
      </c>
      <c r="BT5" s="483">
        <v>75</v>
      </c>
      <c r="BU5" s="409">
        <f>IF(E13&gt;0,IF($B$15="Start weight, lb",E$13*2.2046*BQ5/10000,E$13*BQ5/10000),IF(D13&gt;0,IF($B$15="Start weight, lb",D$13*2.2046*BQ5/10000,D$13*BQ5/10000),IF($B$15="Start weight, lb",C$13*2.2046*BQ5/10000,C$13*BQ5/10000)))</f>
        <v>0.9045661949999998</v>
      </c>
      <c r="BV5" s="409">
        <f t="shared" si="1"/>
        <v>0.75729636261704614</v>
      </c>
    </row>
    <row r="6" spans="1:74" ht="19" x14ac:dyDescent="0.25">
      <c r="C6" s="468" t="s">
        <v>551</v>
      </c>
      <c r="D6" s="469">
        <v>66</v>
      </c>
      <c r="E6" s="468" t="s">
        <v>545</v>
      </c>
      <c r="P6" s="472"/>
      <c r="BP6" s="465">
        <v>95</v>
      </c>
      <c r="BQ6" s="409">
        <f t="shared" si="0"/>
        <v>2.8855759999999995</v>
      </c>
      <c r="BR6" s="409">
        <f>IF(BP6="","",('IOFC Calculations'!$K$32*(BP6^2))+('IOFC Calculations'!$L$32*BP6)+'IOFC Calculations'!$M$32)</f>
        <v>2.6058872013822558</v>
      </c>
      <c r="BT6" s="483">
        <v>95</v>
      </c>
      <c r="BU6" s="409">
        <f>IF(F13&gt;0,IF($B$15="Start weight, lb",F$13*2.2046*BQ6/10000,F$13*BQ6/10000),IF(E13&gt;0,IF($B$15="Start weight, lb",E$13*2.2046*BQ6/10000,E$13*BQ6/10000),IF(D13&gt;0,IF($B$15="Start weight, lb",D$13*2.2046*BQ6/10000,D$13*BQ6/10000),IF($B$15="Start weight, lb",C$13*2.2046*BQ6/10000,C$13*BQ6/10000))))</f>
        <v>0.76323485199999985</v>
      </c>
      <c r="BV6" s="409">
        <f t="shared" si="1"/>
        <v>0.68925716476560661</v>
      </c>
    </row>
    <row r="7" spans="1:74" ht="19" x14ac:dyDescent="0.25">
      <c r="C7" s="468" t="s">
        <v>552</v>
      </c>
      <c r="D7" s="469">
        <f>1.1*2.2046</f>
        <v>2.4250600000000002</v>
      </c>
      <c r="E7" s="468" t="s">
        <v>546</v>
      </c>
      <c r="BP7" s="465">
        <v>115</v>
      </c>
      <c r="BQ7" s="409">
        <f t="shared" si="0"/>
        <v>2.5601219999999989</v>
      </c>
      <c r="BR7" s="409">
        <f>IF(BP7="","",('IOFC Calculations'!$K$32*(BP7^2))+('IOFC Calculations'!$L$32*BP7)+'IOFC Calculations'!$M$32)</f>
        <v>2.5072622902789443</v>
      </c>
      <c r="BT7" s="483">
        <v>115</v>
      </c>
      <c r="BU7" s="409">
        <f>IF(G13&gt;0,IF($B$15="Start weight, lb",G$13*2.2046*BQ7/10000,G$13*BQ7/10000),IF(F13&gt;0,IF($B$15="Start weight, lb",F$13*2.2046*BQ7/10000,F$13*BQ7/10000),IF(E13&gt;0,IF($B$15="Start weight, lb",E$13*2.2046*BQ7/10000,E$13*BQ7/10000),IF(D13&gt;0,IF($B$15="Start weight, lb",D$13*2.2046*BQ7/10000,D$13*BQ7/10000),IF($B$15="Start weight, lb",C$13*2.2046*BQ7/10000,C$13*BQ7/10000)))))</f>
        <v>0.6771522689999997</v>
      </c>
      <c r="BV7" s="409">
        <f t="shared" si="1"/>
        <v>0.66317087577878076</v>
      </c>
    </row>
    <row r="8" spans="1:74" ht="19" x14ac:dyDescent="0.25">
      <c r="C8" s="468" t="s">
        <v>325</v>
      </c>
      <c r="D8" s="469">
        <v>5.51</v>
      </c>
      <c r="E8" s="468" t="s">
        <v>546</v>
      </c>
      <c r="BP8" s="465">
        <v>135</v>
      </c>
      <c r="BQ8" s="409">
        <f t="shared" si="0"/>
        <v>2.4435479999999981</v>
      </c>
      <c r="BR8" s="409">
        <f>IF(BP8="","",('IOFC Calculations'!$K$32*(BP8^2))+('IOFC Calculations'!$L$32*BP8)+'IOFC Calculations'!$M$32)</f>
        <v>2.5672495109889164</v>
      </c>
      <c r="BT8" s="483">
        <v>135</v>
      </c>
      <c r="BU8" s="409">
        <f>IF(H13&gt;0,IF($B$15="Start weight, lb",H$13*2.2046*BQ8/10000,H$13*BQ8/10000),IF(G13&gt;0,IF($B$15="Start weight, lb",G$13*2.2046*BQ8/10000,G$13*BQ8/10000),IF(F13&gt;0,IF($B$15="Start weight, lb",F$13*2.2046*BQ8/10000,F$13*BQ8/10000),IF(E13&gt;0,IF($B$15="Start weight, lb",E$13*2.2046*BQ8/10000,E$13*BQ8/10000),IF(D13&gt;0,IF($B$15="Start weight, lb",D$13*2.2046*BQ8/10000,D$13*BQ8/10000),IF($B$15="Start weight, lb",C$13*2.2046*BQ8/10000,C$13*BQ8/10000))))))</f>
        <v>0.64631844599999955</v>
      </c>
      <c r="BV8" s="409">
        <f t="shared" si="1"/>
        <v>0.67903749565656835</v>
      </c>
    </row>
    <row r="9" spans="1:74" ht="19" x14ac:dyDescent="0.25">
      <c r="C9" s="468" t="s">
        <v>326</v>
      </c>
      <c r="D9" s="469">
        <v>2.65</v>
      </c>
      <c r="E9" s="468" t="s">
        <v>546</v>
      </c>
      <c r="BP9" s="465"/>
      <c r="BQ9" s="409"/>
      <c r="BR9" s="409"/>
      <c r="BT9" s="466"/>
      <c r="BU9" s="409"/>
      <c r="BV9" s="409"/>
    </row>
    <row r="10" spans="1:74" ht="19" x14ac:dyDescent="0.25">
      <c r="C10" s="468" t="s">
        <v>327</v>
      </c>
      <c r="D10" s="469">
        <v>11.02</v>
      </c>
      <c r="E10" s="468" t="s">
        <v>546</v>
      </c>
      <c r="AF10" s="465"/>
      <c r="AG10" s="409"/>
      <c r="AH10" s="409"/>
    </row>
    <row r="11" spans="1:74" ht="19" x14ac:dyDescent="0.25">
      <c r="C11" s="468" t="s">
        <v>328</v>
      </c>
      <c r="D11" s="469">
        <v>8.82</v>
      </c>
      <c r="E11" s="468" t="s">
        <v>546</v>
      </c>
      <c r="AF11" s="465"/>
      <c r="AG11" s="409"/>
      <c r="AH11" s="409"/>
    </row>
    <row r="12" spans="1:74" x14ac:dyDescent="0.2">
      <c r="AF12" s="465"/>
      <c r="AG12" s="409"/>
      <c r="AH12" s="409"/>
    </row>
    <row r="13" spans="1:74" ht="21" x14ac:dyDescent="0.25">
      <c r="B13" s="484" t="s">
        <v>547</v>
      </c>
      <c r="C13" s="462">
        <v>2645</v>
      </c>
      <c r="D13" s="462">
        <v>2645</v>
      </c>
      <c r="E13" s="462">
        <v>2645</v>
      </c>
      <c r="F13" s="462">
        <v>2645</v>
      </c>
      <c r="G13" s="462">
        <v>2645</v>
      </c>
      <c r="H13" s="462">
        <v>2645</v>
      </c>
      <c r="I13" s="462">
        <v>2645</v>
      </c>
      <c r="AF13" s="465"/>
      <c r="AG13" s="409"/>
      <c r="AH13" s="409"/>
    </row>
    <row r="14" spans="1:74" ht="21" x14ac:dyDescent="0.25">
      <c r="B14" s="411"/>
      <c r="C14" s="412"/>
      <c r="D14" s="412"/>
      <c r="E14" s="412"/>
      <c r="F14" s="412"/>
      <c r="G14" s="412"/>
      <c r="H14" s="412"/>
      <c r="I14" s="412"/>
    </row>
    <row r="15" spans="1:74" ht="21" x14ac:dyDescent="0.25">
      <c r="B15" s="484" t="s">
        <v>507</v>
      </c>
      <c r="C15" s="462">
        <v>23</v>
      </c>
      <c r="D15" s="462">
        <v>37</v>
      </c>
      <c r="E15" s="462">
        <v>50</v>
      </c>
      <c r="F15" s="462">
        <v>64</v>
      </c>
      <c r="G15" s="462">
        <v>77</v>
      </c>
      <c r="H15" s="462">
        <v>91</v>
      </c>
      <c r="I15" s="462">
        <v>109</v>
      </c>
    </row>
    <row r="16" spans="1:74" ht="21" x14ac:dyDescent="0.25">
      <c r="B16" s="484" t="s">
        <v>508</v>
      </c>
      <c r="C16" s="462">
        <v>37</v>
      </c>
      <c r="D16" s="462">
        <v>50</v>
      </c>
      <c r="E16" s="462">
        <v>64</v>
      </c>
      <c r="F16" s="462">
        <v>77</v>
      </c>
      <c r="G16" s="462">
        <v>91</v>
      </c>
      <c r="H16" s="462">
        <v>109</v>
      </c>
      <c r="I16" s="462">
        <v>132</v>
      </c>
    </row>
    <row r="18" spans="2:10" ht="21.75" customHeight="1" thickBot="1" x14ac:dyDescent="0.35">
      <c r="B18" s="500" t="s">
        <v>543</v>
      </c>
      <c r="C18" s="501"/>
      <c r="D18" s="501"/>
      <c r="E18" s="501"/>
      <c r="F18" s="501"/>
      <c r="G18" s="501"/>
      <c r="H18" s="501"/>
      <c r="I18" s="501"/>
    </row>
    <row r="19" spans="2:10" ht="24" x14ac:dyDescent="0.3">
      <c r="B19" s="475" t="s">
        <v>541</v>
      </c>
      <c r="C19" s="477">
        <f>IF(C15="","",IF($B$15="Start weight, lb",0.0000525399*(AVERAGE(C$15,C$16)^2)-0.0318440829*(AVERAGE(C$15,C$16))+7.2558942721,0.0002611*(AVERAGE(C$15,C$16)^2)-0.0711037*(AVERAGE(C$15,C$16))+7.284))</f>
        <v>5.3858790000000001</v>
      </c>
      <c r="D19" s="477">
        <f t="shared" ref="D19:I19" si="2">IF(D15="","",IF($B$15="Start weight, lb",0.0000525399*(AVERAGE(D$15,D$16)^2)-0.0318440829*(AVERAGE(D$15,D$16))+7.2558942721,0.0002611*(AVERAGE(D$15,D$16)^2)-0.0711037*(AVERAGE(D$15,D$16))+7.284))</f>
        <v>4.6850555249999992</v>
      </c>
      <c r="E19" s="477">
        <f t="shared" si="2"/>
        <v>4.0794029999999992</v>
      </c>
      <c r="F19" s="477">
        <f t="shared" si="2"/>
        <v>3.5689214249999996</v>
      </c>
      <c r="G19" s="477">
        <f t="shared" si="2"/>
        <v>3.1536107999999992</v>
      </c>
      <c r="H19" s="477">
        <f t="shared" si="2"/>
        <v>2.7846299999999991</v>
      </c>
      <c r="I19" s="477">
        <f t="shared" si="2"/>
        <v>2.5072414249999992</v>
      </c>
    </row>
    <row r="20" spans="2:10" ht="25" thickBot="1" x14ac:dyDescent="0.35">
      <c r="B20" s="413" t="s">
        <v>542</v>
      </c>
      <c r="C20" s="478">
        <f t="shared" ref="C20:I20" si="3">IF(C19="","",IF($B$15="Start weight, lb",C$13*2.2046*C$19/10000,C$13*C$19/10000))</f>
        <v>1.4245649955000002</v>
      </c>
      <c r="D20" s="478">
        <f t="shared" si="3"/>
        <v>1.2391971863624998</v>
      </c>
      <c r="E20" s="478">
        <f t="shared" si="3"/>
        <v>1.0790020934999998</v>
      </c>
      <c r="F20" s="478">
        <f t="shared" si="3"/>
        <v>0.94397971691249982</v>
      </c>
      <c r="G20" s="478">
        <f t="shared" si="3"/>
        <v>0.83413005659999984</v>
      </c>
      <c r="H20" s="478">
        <f t="shared" si="3"/>
        <v>0.73653463499999972</v>
      </c>
      <c r="I20" s="478">
        <f t="shared" si="3"/>
        <v>0.66316535691249978</v>
      </c>
    </row>
    <row r="21" spans="2:10" ht="24" x14ac:dyDescent="0.3">
      <c r="B21" s="476"/>
      <c r="C21" s="476"/>
      <c r="D21" s="476"/>
      <c r="E21" s="476"/>
      <c r="F21" s="476"/>
      <c r="G21" s="476"/>
      <c r="H21" s="476"/>
      <c r="I21" s="476"/>
    </row>
    <row r="22" spans="2:10" ht="21" customHeight="1" thickBot="1" x14ac:dyDescent="0.35">
      <c r="B22" s="500" t="s">
        <v>544</v>
      </c>
      <c r="C22" s="501"/>
      <c r="D22" s="501"/>
      <c r="E22" s="501"/>
      <c r="F22" s="501"/>
      <c r="G22" s="501"/>
      <c r="H22" s="501"/>
      <c r="I22" s="501"/>
    </row>
    <row r="23" spans="2:10" ht="24" x14ac:dyDescent="0.3">
      <c r="B23" s="475" t="s">
        <v>541</v>
      </c>
      <c r="C23" s="477">
        <f>IF(C$15="","",IF(('IOFC Calculations'!$K$32*(AVERAGE(C$15,C$16)^2)+('IOFC Calculations'!$L$32*(AVERAGE(C$15,C$16)))+'IOFC Calculations'!$M$32)&gt;=C19,C19,('IOFC Calculations'!$K$32*(AVERAGE(C$15,C$16)^2)+('IOFC Calculations'!$L$32*(AVERAGE(C$15,C$16)))+'IOFC Calculations'!$M$32)))</f>
        <v>4.0218331978035096</v>
      </c>
      <c r="D23" s="477">
        <f>IF(D$15="","",IF(('IOFC Calculations'!$K$32*(AVERAGE(D$15,D$16)^2)+('IOFC Calculations'!$L$32*(AVERAGE(D$15,D$16)))+'IOFC Calculations'!$M$32)&gt;=D19,D19,('IOFC Calculations'!$K$32*(AVERAGE(D$15,D$16)^2)+('IOFC Calculations'!$L$32*(AVERAGE(D$15,D$16)))+'IOFC Calculations'!$M$32)))</f>
        <v>3.589908250435113</v>
      </c>
      <c r="E23" s="477">
        <f>IF(E$15="","",IF(('IOFC Calculations'!$K$32*(AVERAGE(E$15,E$16)^2)+('IOFC Calculations'!$L$32*(AVERAGE(E$15,E$16)))+'IOFC Calculations'!$M$32)&gt;=E19,E19,('IOFC Calculations'!$K$32*(AVERAGE(E$15,E$16)^2)+('IOFC Calculations'!$L$32*(AVERAGE(E$15,E$16)))+'IOFC Calculations'!$M$32)))</f>
        <v>3.2302509556241441</v>
      </c>
      <c r="F23" s="477">
        <f>IF(F$15="","",IF(('IOFC Calculations'!$K$32*(AVERAGE(F$15,F$16)^2)+('IOFC Calculations'!$L$32*(AVERAGE(F$15,F$16)))+'IOFC Calculations'!$M$32)&gt;=F19,F19,('IOFC Calculations'!$K$32*(AVERAGE(F$15,F$16)^2)+('IOFC Calculations'!$L$32*(AVERAGE(F$15,F$16)))+'IOFC Calculations'!$M$32)))</f>
        <v>2.942861313370603</v>
      </c>
      <c r="G23" s="477">
        <f>IF(G$15="","",IF(('IOFC Calculations'!$K$32*(AVERAGE(G$15,G$16)^2)+('IOFC Calculations'!$L$32*(AVERAGE(G$15,G$16)))+'IOFC Calculations'!$M$32)&gt;=G19,G19,('IOFC Calculations'!$K$32*(AVERAGE(G$15,G$16)^2)+('IOFC Calculations'!$L$32*(AVERAGE(G$15,G$16)))+'IOFC Calculations'!$M$32)))</f>
        <v>2.7277393236744891</v>
      </c>
      <c r="H23" s="477">
        <f>IF(H$15="","",IF(('IOFC Calculations'!$K$32*(AVERAGE(H$15,H$16)^2)+('IOFC Calculations'!$L$32*(AVERAGE(H$15,H$16)))+'IOFC Calculations'!$M$32)&gt;=H19,H19,('IOFC Calculations'!$K$32*(AVERAGE(H$15,H$16)^2)+('IOFC Calculations'!$L$32*(AVERAGE(H$15,H$16)))+'IOFC Calculations'!$M$32)))</f>
        <v>2.5663610862489321</v>
      </c>
      <c r="I23" s="477">
        <f>IF(I$15="","",IF(('IOFC Calculations'!$K$32*(AVERAGE(I$15,I$16)^2)+('IOFC Calculations'!$L$32*(AVERAGE(I$15,I$16)))+'IOFC Calculations'!$M$32)&gt;=I19,I19,('IOFC Calculations'!$K$32*(AVERAGE(I$15,I$16)^2)+('IOFC Calculations'!$L$32*(AVERAGE(I$15,I$16)))+'IOFC Calculations'!$M$32)))</f>
        <v>2.5072414249999992</v>
      </c>
    </row>
    <row r="24" spans="2:10" ht="25" thickBot="1" x14ac:dyDescent="0.35">
      <c r="B24" s="413" t="s">
        <v>542</v>
      </c>
      <c r="C24" s="478">
        <f t="shared" ref="C24:I24" si="4">IF(C$15="","",IF($B$15="Start weight, lb",C$13*2.2046*C$23/10000,C$13*C$23/10000))</f>
        <v>1.0637748808190284</v>
      </c>
      <c r="D24" s="478">
        <f t="shared" si="4"/>
        <v>0.94953073224008733</v>
      </c>
      <c r="E24" s="478">
        <f t="shared" si="4"/>
        <v>0.85440137776258618</v>
      </c>
      <c r="F24" s="478">
        <f t="shared" si="4"/>
        <v>0.77838681738652449</v>
      </c>
      <c r="G24" s="478">
        <f t="shared" si="4"/>
        <v>0.72148705111190237</v>
      </c>
      <c r="H24" s="478">
        <f t="shared" si="4"/>
        <v>0.67880250731284253</v>
      </c>
      <c r="I24" s="478">
        <f t="shared" si="4"/>
        <v>0.66316535691249978</v>
      </c>
    </row>
    <row r="25" spans="2:10" ht="15" thickBot="1" x14ac:dyDescent="0.25"/>
    <row r="26" spans="2:10" ht="25" thickBot="1" x14ac:dyDescent="0.35">
      <c r="B26" s="476" t="s">
        <v>574</v>
      </c>
      <c r="J26" s="497" t="s">
        <v>519</v>
      </c>
    </row>
    <row r="27" spans="2:10" ht="24" x14ac:dyDescent="0.3">
      <c r="B27" s="488" t="s">
        <v>575</v>
      </c>
      <c r="C27" s="490">
        <f>IF(C42="","",C42-C43)</f>
        <v>3.4265276474719553E-2</v>
      </c>
      <c r="D27" s="492">
        <f t="shared" ref="D27:I27" si="5">IF(D42="","",D42-D43)</f>
        <v>2.8941215594233904E-2</v>
      </c>
      <c r="E27" s="490">
        <f t="shared" si="5"/>
        <v>2.2440353876906682E-2</v>
      </c>
      <c r="F27" s="492">
        <f t="shared" si="5"/>
        <v>5.5426758550635835E-2</v>
      </c>
      <c r="G27" s="490">
        <f t="shared" si="5"/>
        <v>2.3314705806211755E-2</v>
      </c>
      <c r="H27" s="492">
        <f t="shared" si="5"/>
        <v>1.2112777710042488E-2</v>
      </c>
      <c r="I27" s="495">
        <f t="shared" si="5"/>
        <v>0</v>
      </c>
      <c r="J27" s="490">
        <f>SUMPRODUCT(C27:I27,C44:I44)/SUM(C44:I44)</f>
        <v>2.2321025191908962E-2</v>
      </c>
    </row>
    <row r="28" spans="2:10" ht="24" x14ac:dyDescent="0.3">
      <c r="B28" s="489" t="str">
        <f>IF(G4="Fixed Weight", "Additional days on feed required","Potential loss in Weight Gain, kg")</f>
        <v>Additional days on feed required</v>
      </c>
      <c r="C28" s="491">
        <f>IF($B$28="Additional days on feed required",IF(C44="","",C45-C44),C27*C44)</f>
        <v>0.61308346828775129</v>
      </c>
      <c r="D28" s="493">
        <f t="shared" ref="D28:I28" si="6">IF($B$28="Additional days on feed required",IF(D44="","",D45-D44),D27*D44)</f>
        <v>0.36258807347768496</v>
      </c>
      <c r="E28" s="491">
        <f t="shared" si="6"/>
        <v>0.31047107897989079</v>
      </c>
      <c r="F28" s="493">
        <f t="shared" si="6"/>
        <v>0.70439376892735339</v>
      </c>
      <c r="G28" s="491">
        <f t="shared" si="6"/>
        <v>0.27719053645982328</v>
      </c>
      <c r="H28" s="493">
        <f t="shared" si="6"/>
        <v>0.19020862557747265</v>
      </c>
      <c r="I28" s="496">
        <f t="shared" si="6"/>
        <v>0</v>
      </c>
      <c r="J28" s="491">
        <f>SUM(C28:I28)</f>
        <v>2.4579355517099764</v>
      </c>
    </row>
    <row r="29" spans="2:10" ht="24" x14ac:dyDescent="0.3">
      <c r="B29" s="489" t="s">
        <v>559</v>
      </c>
      <c r="C29" s="491">
        <f>IF($G$4="Fixed Weight",IF(C28="","",(C45*C49)-(C44*C48)),IF(C28="","",(C49*C44)-(C48*C44)))</f>
        <v>1.5671856159512174</v>
      </c>
      <c r="D29" s="493">
        <f t="shared" ref="D29:I29" si="7">IF($G$4="Fixed Weight",IF(D28="","",(D45*D49)-(D44*D48)),IF(D28="","",(D49*D44)-(D48*D44)))</f>
        <v>1.0020022115027345</v>
      </c>
      <c r="E29" s="491">
        <f t="shared" si="7"/>
        <v>0.86670937989181951</v>
      </c>
      <c r="F29" s="493">
        <f t="shared" si="7"/>
        <v>1.4102906716945469</v>
      </c>
      <c r="G29" s="491">
        <f t="shared" si="7"/>
        <v>0.73863589607870495</v>
      </c>
      <c r="H29" s="493">
        <f t="shared" si="7"/>
        <v>0.73756805800469039</v>
      </c>
      <c r="I29" s="496">
        <f t="shared" si="7"/>
        <v>0</v>
      </c>
      <c r="J29" s="491">
        <f>SUM(C29:I29)</f>
        <v>6.3223918331237137</v>
      </c>
    </row>
    <row r="30" spans="2:10" s="476" customFormat="1" ht="25" thickBot="1" x14ac:dyDescent="0.35">
      <c r="B30" s="494" t="s">
        <v>576</v>
      </c>
      <c r="C30" s="498">
        <f>IF(C15="","",IF(C28=0,0,('IOFC Calculations'!$K$44*(AVERAGE(C15:C16)^2)+'IOFC Calculations'!$L$44*(AVERAGE(C15:C16))+'IOFC Calculations'!$M$44)-('IOFC Calculations'!$K$56*(AVERAGE(C15:C16)^2)+'IOFC Calculations'!$L$56*(AVERAGE(C15:C16))+'IOFC Calculations'!$M$56)))</f>
        <v>0.20261769971989096</v>
      </c>
      <c r="D30" s="498">
        <f>IF(D15="","",IF(D28=0,0,('IOFC Calculations'!$K$44*(AVERAGE(D15:D16)^2)+'IOFC Calculations'!$L$44*(AVERAGE(D15:D16))+'IOFC Calculations'!$M$44)-('IOFC Calculations'!$K$56*(AVERAGE(D15:D16)^2)+'IOFC Calculations'!$L$56*(AVERAGE(D15:D16))+'IOFC Calculations'!$M$56)))</f>
        <v>0.15232044007803669</v>
      </c>
      <c r="E30" s="498">
        <f>IF(E15="","",IF(E28=0,0,('IOFC Calculations'!$K$44*(AVERAGE(E15:E16)^2)+'IOFC Calculations'!$L$44*(AVERAGE(E15:E16))+'IOFC Calculations'!$M$44)-('IOFC Calculations'!$K$56*(AVERAGE(E15:E16)^2)+'IOFC Calculations'!$L$56*(AVERAGE(E15:E16))+'IOFC Calculations'!$M$56)))</f>
        <v>0.11068708773946145</v>
      </c>
      <c r="F30" s="498">
        <f>IF(F15="","",IF(F28=0,0,('IOFC Calculations'!$K$44*(AVERAGE(F15:F16)^2)+'IOFC Calculations'!$L$44*(AVERAGE(F15:F16))+'IOFC Calculations'!$M$44)-('IOFC Calculations'!$K$56*(AVERAGE(F15:F16)^2)+'IOFC Calculations'!$L$56*(AVERAGE(F15:F16))+'IOFC Calculations'!$M$56)))</f>
        <v>7.7717642704161705E-2</v>
      </c>
      <c r="G30" s="498">
        <f>IF(G15="","",IF(G28=0,0,('IOFC Calculations'!$K$44*(AVERAGE(G15:G16)^2)+'IOFC Calculations'!$L$44*(AVERAGE(G15:G16))+'IOFC Calculations'!$M$44)-('IOFC Calculations'!$K$56*(AVERAGE(G15:G16)^2)+'IOFC Calculations'!$L$56*(AVERAGE(G15:G16))+'IOFC Calculations'!$M$56)))</f>
        <v>5.3412104972140995E-2</v>
      </c>
      <c r="H30" s="498">
        <f>IF(H15="","",IF(H28=0,0,('IOFC Calculations'!$K$44*(AVERAGE(H15:H16)^2)+'IOFC Calculations'!$L$44*(AVERAGE(H15:H16))+'IOFC Calculations'!$M$44)-('IOFC Calculations'!$K$56*(AVERAGE(H15:H16)^2)+'IOFC Calculations'!$L$56*(AVERAGE(H15:H16))+'IOFC Calculations'!$M$56)))</f>
        <v>3.5824648036376416E-2</v>
      </c>
      <c r="I30" s="499">
        <f>IF(I15="","",IF(I28=0,0,('IOFC Calculations'!$K$44*(AVERAGE(I15:I16)^2)+'IOFC Calculations'!$L$44*(AVERAGE(I15:I16))+'IOFC Calculations'!$M$44)-('IOFC Calculations'!$K$56*(AVERAGE(I15:I16)^2)+'IOFC Calculations'!$L$56*(AVERAGE(I15:I16))+'IOFC Calculations'!$M$56)))</f>
        <v>0</v>
      </c>
      <c r="J30" s="498">
        <f>SUM(C30:I30)</f>
        <v>0.63257962325006822</v>
      </c>
    </row>
    <row r="42" spans="2:9" ht="21" hidden="1" x14ac:dyDescent="0.25">
      <c r="B42" s="486" t="s">
        <v>560</v>
      </c>
      <c r="C42" s="486">
        <f>IF(C15&gt;=100,IF(C20&gt;=0.64,0.97527,0.30847*C20+0.777830692),IF(C15&gt;=76,IF(C20&gt;=0.83261,1.09687,0.20981*C20+0.922180096),IF(C15&gt;=53,0.334717*C20+0.7235286,IF(C15&gt;=36,0.09991221*C20+0.9094085,IF(C15&gt;=18,-0.282148*(C20^2)+0.797053*C20+0.339,"")))))</f>
        <v>0.90186676406924993</v>
      </c>
      <c r="D42" s="486">
        <f t="shared" ref="D42:I42" si="8">IF(D15&gt;=100,IF(D20&gt;=0.64,0.97527,0.30847*D20+0.777830692),IF(D15&gt;=76,IF(D20&gt;=0.83261,1.09687,0.20981*D20+0.922180096),IF(D15&gt;=53,0.334717*D20+0.7235286,IF(D15&gt;=36,0.09991221*D20+0.9094085,IF(D15&gt;=18,-0.282148*(D20^2)+0.797053*D20+0.339,"")))))</f>
        <v>1.0332194295152592</v>
      </c>
      <c r="E42" s="486">
        <f t="shared" si="8"/>
        <v>1.0172139837562115</v>
      </c>
      <c r="F42" s="486">
        <f t="shared" si="8"/>
        <v>1.0394946589058012</v>
      </c>
      <c r="G42" s="486">
        <f t="shared" si="8"/>
        <v>1.09687</v>
      </c>
      <c r="H42" s="486">
        <f t="shared" si="8"/>
        <v>1.0767124277693498</v>
      </c>
      <c r="I42" s="486">
        <f t="shared" si="8"/>
        <v>0.97526999999999997</v>
      </c>
    </row>
    <row r="43" spans="2:9" ht="21" hidden="1" x14ac:dyDescent="0.25">
      <c r="B43" s="486" t="s">
        <v>561</v>
      </c>
      <c r="C43" s="486">
        <f>IF(C15&gt;=100,IF(C24&gt;=0.64,0.97527,0.30847*C24+0.777830692),IF(C15&gt;=76,IF(C24&gt;=0.83261,1.09687,0.20981*C24+0.922180096),IF(C15&gt;=53,0.334717*C24+0.7235286,IF(C15&gt;=36,0.09991221*C24+0.9094085,IF(C15&gt;=18,-0.282148*(C24^2)+0.797053*C24+0.339,"")))))</f>
        <v>0.86760148759453037</v>
      </c>
      <c r="D43" s="486">
        <f t="shared" ref="D43:I43" si="9">IF(D15&gt;=100,IF(D24&gt;=0.64,0.97527,0.30847*D24+0.777830692),IF(D15&gt;=76,IF(D24&gt;=0.83261,1.09687,0.20981*D24+0.922180096),IF(D15&gt;=53,0.334717*D24+0.7235286,IF(D15&gt;=36,0.09991221*D24+0.9094085,IF(D15&gt;=18,-0.282148*(D24^2)+0.797053*D24+0.339,"")))))</f>
        <v>1.0042782139210253</v>
      </c>
      <c r="E43" s="486">
        <f t="shared" si="9"/>
        <v>0.99477362987930484</v>
      </c>
      <c r="F43" s="486">
        <f t="shared" si="9"/>
        <v>0.98406790035516534</v>
      </c>
      <c r="G43" s="486">
        <f t="shared" si="9"/>
        <v>1.0735552941937883</v>
      </c>
      <c r="H43" s="486">
        <f t="shared" si="9"/>
        <v>1.0645996500593073</v>
      </c>
      <c r="I43" s="486">
        <f t="shared" si="9"/>
        <v>0.97526999999999997</v>
      </c>
    </row>
    <row r="44" spans="2:9" ht="21" hidden="1" x14ac:dyDescent="0.25">
      <c r="B44" s="486" t="s">
        <v>562</v>
      </c>
      <c r="C44" s="486">
        <f>IF(C15="","",(C16-C15)/C42)</f>
        <v>15.523357282656232</v>
      </c>
      <c r="D44" s="486">
        <f t="shared" ref="D44:I44" si="10">IF(D15="","",(D16-D15)/D42)</f>
        <v>12.582032072411785</v>
      </c>
      <c r="E44" s="486">
        <f t="shared" si="10"/>
        <v>13.763082521047293</v>
      </c>
      <c r="F44" s="486">
        <f t="shared" si="10"/>
        <v>12.506076763957724</v>
      </c>
      <c r="G44" s="486">
        <f t="shared" si="10"/>
        <v>12.763590945143909</v>
      </c>
      <c r="H44" s="486">
        <f t="shared" si="10"/>
        <v>16.717555714752006</v>
      </c>
      <c r="I44" s="486">
        <f t="shared" si="10"/>
        <v>23.583212853876365</v>
      </c>
    </row>
    <row r="45" spans="2:9" ht="21" hidden="1" x14ac:dyDescent="0.25">
      <c r="B45" s="486" t="s">
        <v>563</v>
      </c>
      <c r="C45" s="486">
        <f>IF(C15="","",(C16-C15)/C43)</f>
        <v>16.136440750943983</v>
      </c>
      <c r="D45" s="486">
        <f t="shared" ref="D45:I45" si="11">IF(D15="","",(D16-D15)/D43)</f>
        <v>12.94462014588947</v>
      </c>
      <c r="E45" s="486">
        <f t="shared" si="11"/>
        <v>14.073553600027184</v>
      </c>
      <c r="F45" s="486">
        <f t="shared" si="11"/>
        <v>13.210470532885077</v>
      </c>
      <c r="G45" s="486">
        <f t="shared" si="11"/>
        <v>13.040781481603732</v>
      </c>
      <c r="H45" s="486">
        <f t="shared" si="11"/>
        <v>16.907764340329479</v>
      </c>
      <c r="I45" s="486">
        <f t="shared" si="11"/>
        <v>23.583212853876365</v>
      </c>
    </row>
    <row r="46" spans="2:9" ht="21" hidden="1" x14ac:dyDescent="0.25">
      <c r="B46" s="486" t="s">
        <v>564</v>
      </c>
      <c r="C46" s="486">
        <f>IF(C15&gt;=100,IF(C20&gt;=0.597631,0.331302,0.184102*C20+0.221276938),IF(C15&gt;=76,-0.2244707*(C20^2)+0.4156878*C20+0.19,IF(C15&gt;=53,-0.4830938*(C20^2)+0.9555893*C20-0.027,IF(C15&gt;=36,0.07098764*C20+0.4389249,IF(C15&gt;=18,0.1174533*C20+0.4695,"")))))</f>
        <v>0.63681985978596012</v>
      </c>
      <c r="D46" s="486">
        <f t="shared" ref="D46:I46" si="12">IF(D15&gt;=100,IF(D20&gt;=0.597631,0.331302,0.184102*D20+0.221276938),IF(D15&gt;=76,-0.2244707*(D20^2)+0.4156878*D20+0.19,IF(D15&gt;=53,-0.4830938*(D20^2)+0.9555893*D20-0.027,IF(D15&gt;=36,0.07098764*D20+0.4389249,IF(D15&gt;=18,0.1174533*D20+0.4695,"")))))</f>
        <v>0.52689258375451409</v>
      </c>
      <c r="E46" s="486">
        <f t="shared" si="12"/>
        <v>0.5155207121726243</v>
      </c>
      <c r="F46" s="486">
        <f t="shared" si="12"/>
        <v>0.44457313996371228</v>
      </c>
      <c r="G46" s="486">
        <f t="shared" si="12"/>
        <v>0.3805570467172732</v>
      </c>
      <c r="H46" s="486">
        <f t="shared" si="12"/>
        <v>0.37439686301621766</v>
      </c>
      <c r="I46" s="486">
        <f t="shared" si="12"/>
        <v>0.33130199999999999</v>
      </c>
    </row>
    <row r="47" spans="2:9" ht="21" hidden="1" x14ac:dyDescent="0.25">
      <c r="B47" s="486" t="s">
        <v>565</v>
      </c>
      <c r="C47" s="486">
        <f>IF(C15&gt;=100,IF(C24&gt;=0.597631,0.331302,0.184102*C24+0.221276938),IF(C15&gt;=76,-0.2244707*(C24^2)+0.4156878*C24+0.19,IF(C15&gt;=53,-0.4830938*(C24^2)+0.9555893*C24-0.027,IF(C15&gt;=36,0.07098764*C24+0.4389249,IF(C15&gt;=18,0.1174533*C24+0.4695,"")))))</f>
        <v>0.59444387020930156</v>
      </c>
      <c r="D47" s="486">
        <f t="shared" ref="D47:I47" si="13">IF(D15&gt;=100,IF(D24&gt;=0.597631,0.331302,0.184102*D24+0.221276938),IF(D15&gt;=76,-0.2244707*(D24^2)+0.4156878*D24+0.19,IF(D15&gt;=53,-0.4830938*(D24^2)+0.9555893*D24-0.027,IF(D15&gt;=36,0.07098764*D24+0.4389249,IF(D15&gt;=18,0.1174533*D24+0.4695,"")))))</f>
        <v>0.50632984578919571</v>
      </c>
      <c r="E47" s="486">
        <f t="shared" si="13"/>
        <v>0.49957683742011449</v>
      </c>
      <c r="F47" s="486">
        <f t="shared" si="13"/>
        <v>0.42411832574191871</v>
      </c>
      <c r="G47" s="486">
        <f t="shared" si="13"/>
        <v>0.37306658660662406</v>
      </c>
      <c r="H47" s="486">
        <f t="shared" si="13"/>
        <v>0.36873991808045847</v>
      </c>
      <c r="I47" s="486">
        <f t="shared" si="13"/>
        <v>0.33130199999999999</v>
      </c>
    </row>
    <row r="48" spans="2:9" ht="21" hidden="1" x14ac:dyDescent="0.25">
      <c r="B48" s="486" t="s">
        <v>566</v>
      </c>
      <c r="C48" s="486">
        <f>IF(C42="","",C42/C46)</f>
        <v>1.4162038922158835</v>
      </c>
      <c r="D48" s="486">
        <f t="shared" ref="D48:I48" si="14">IF(D42="","",D42/D46)</f>
        <v>1.9609678734757998</v>
      </c>
      <c r="E48" s="486">
        <f t="shared" si="14"/>
        <v>1.9731777205793297</v>
      </c>
      <c r="F48" s="486">
        <f t="shared" si="14"/>
        <v>2.3381859259213198</v>
      </c>
      <c r="G48" s="486">
        <f t="shared" si="14"/>
        <v>2.8822748375354519</v>
      </c>
      <c r="H48" s="486">
        <f t="shared" si="14"/>
        <v>2.8758585718243856</v>
      </c>
      <c r="I48" s="486">
        <f t="shared" si="14"/>
        <v>2.9437492076715506</v>
      </c>
    </row>
    <row r="49" spans="2:9" ht="21" hidden="1" x14ac:dyDescent="0.25">
      <c r="B49" s="486" t="s">
        <v>567</v>
      </c>
      <c r="C49" s="486">
        <f>IF(C43="","",C43/C47)</f>
        <v>1.4595179310858248</v>
      </c>
      <c r="D49" s="486">
        <f t="shared" ref="D49:I49" si="15">IF(D43="","",D43/D47)</f>
        <v>1.9834466055535356</v>
      </c>
      <c r="E49" s="486">
        <f t="shared" si="15"/>
        <v>1.9912324899137772</v>
      </c>
      <c r="F49" s="486">
        <f t="shared" si="15"/>
        <v>2.3202673419822535</v>
      </c>
      <c r="G49" s="486">
        <f t="shared" si="15"/>
        <v>2.8776506198497662</v>
      </c>
      <c r="H49" s="486">
        <f t="shared" si="15"/>
        <v>2.8871288348743773</v>
      </c>
      <c r="I49" s="486">
        <f t="shared" si="15"/>
        <v>2.9437492076715506</v>
      </c>
    </row>
  </sheetData>
  <sheetProtection sheet="1" objects="1" scenarios="1"/>
  <mergeCells count="4">
    <mergeCell ref="B18:I18"/>
    <mergeCell ref="B22:I22"/>
    <mergeCell ref="BQ1:BR1"/>
    <mergeCell ref="BU1:BV1"/>
  </mergeCells>
  <dataValidations count="7">
    <dataValidation allowBlank="1" showInputMessage="1" showErrorMessage="1" promptTitle="Energy Level" prompt="Insert here the energy level of your diet" sqref="C13:I13" xr:uid="{00000000-0002-0000-0400-000000000000}"/>
    <dataValidation allowBlank="1" showInputMessage="1" showErrorMessage="1" errorTitle="STOP" error="Do not modify this cell value" sqref="C23:I24 C19:I19" xr:uid="{00000000-0002-0000-0400-000001000000}"/>
    <dataValidation type="whole" allowBlank="1" showInputMessage="1" showErrorMessage="1" promptTitle="Starting Weight" prompt="Insert starting weight of each phase" sqref="C15:I15" xr:uid="{180A29CF-E033-7840-86E5-E53670414278}">
      <formula1>15</formula1>
      <formula2>135</formula2>
    </dataValidation>
    <dataValidation allowBlank="1" showInputMessage="1" showErrorMessage="1" promptTitle="Carcass Weight Price" prompt="Select price per lb or kg" sqref="I3" xr:uid="{22E6E144-BDD5-5348-A026-3C69A8D8E6C2}"/>
    <dataValidation type="list" allowBlank="1" showInputMessage="1" showErrorMessage="1" promptTitle="Pig Price" prompt="Select Carcass Price or Live Pig Price" sqref="G3" xr:uid="{D9F3239D-D07A-E944-B699-D1C7AE31962A}">
      <formula1>$AD$1:$AD$2</formula1>
    </dataValidation>
    <dataValidation type="whole" allowBlank="1" showInputMessage="1" showErrorMessage="1" promptTitle="End Weight" prompt="Insert projected end weight of each phase" sqref="C16:I16" xr:uid="{910E416F-B480-2546-B5E7-EB3C77B869A0}">
      <formula1>15</formula1>
      <formula2>135</formula2>
    </dataValidation>
    <dataValidation type="list" allowBlank="1" showInputMessage="1" showErrorMessage="1" prompt="Please select a fixed time or fixed weight system." sqref="G4" xr:uid="{6C4D0F5E-2537-2C4D-BB68-D8846DD02BAE}">
      <formula1>$AC$1:$AC$2</formula1>
    </dataValidation>
  </dataValidations>
  <pageMargins left="0.25" right="0.25" top="0.75" bottom="0.75" header="0.3" footer="0.3"/>
  <pageSetup scale="90" fitToWidth="2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GV228"/>
  <sheetViews>
    <sheetView zoomScale="220" zoomScaleNormal="220" workbookViewId="0">
      <pane xSplit="2" ySplit="7" topLeftCell="DU115" activePane="bottomRight" state="frozen"/>
      <selection activeCell="DX129" sqref="DX129"/>
      <selection pane="topRight" activeCell="DX129" sqref="DX129"/>
      <selection pane="bottomLeft" activeCell="DX129" sqref="DX129"/>
      <selection pane="bottomRight" activeCell="DX129" sqref="DX129"/>
    </sheetView>
  </sheetViews>
  <sheetFormatPr baseColWidth="10" defaultColWidth="8.83203125" defaultRowHeight="13" x14ac:dyDescent="0.15"/>
  <cols>
    <col min="2" max="2" width="30.1640625" bestFit="1" customWidth="1"/>
    <col min="4" max="4" width="12.5" customWidth="1"/>
    <col min="5" max="6" width="9.5" bestFit="1" customWidth="1"/>
    <col min="10" max="10" width="8.33203125" customWidth="1"/>
    <col min="11" max="11" width="9.83203125" customWidth="1"/>
    <col min="13" max="13" width="9.5" bestFit="1" customWidth="1"/>
    <col min="15" max="17" width="8.83203125" bestFit="1" customWidth="1"/>
    <col min="32" max="36" width="9.5" bestFit="1" customWidth="1"/>
    <col min="37" max="37" width="10" customWidth="1"/>
    <col min="38" max="39" width="9.5" bestFit="1" customWidth="1"/>
    <col min="40" max="40" width="10.33203125" customWidth="1"/>
    <col min="41" max="49" width="9.5" bestFit="1" customWidth="1"/>
    <col min="57" max="57" width="9.83203125" customWidth="1"/>
    <col min="60" max="60" width="10.5" customWidth="1"/>
    <col min="72" max="73" width="7.5" customWidth="1"/>
    <col min="75" max="75" width="7.5" customWidth="1"/>
    <col min="106" max="106" width="9.83203125" customWidth="1"/>
    <col min="111" max="111" width="10.5" customWidth="1"/>
    <col min="112" max="125" width="8.6640625" style="1"/>
    <col min="126" max="126" width="10" style="1" bestFit="1" customWidth="1"/>
    <col min="127" max="127" width="9.5" style="1" bestFit="1" customWidth="1"/>
    <col min="128" max="128" width="9.1640625" style="1" customWidth="1"/>
    <col min="129" max="129" width="11.5" style="1" customWidth="1"/>
    <col min="130" max="130" width="12.5" style="1" customWidth="1"/>
    <col min="131" max="131" width="10" style="1" customWidth="1"/>
    <col min="132" max="132" width="8.33203125" style="1" customWidth="1"/>
    <col min="133" max="133" width="9.83203125" style="1" customWidth="1"/>
    <col min="134" max="134" width="8.33203125" style="1" customWidth="1"/>
    <col min="135" max="136" width="11.1640625" style="1" customWidth="1"/>
    <col min="137" max="137" width="10.1640625" style="385" customWidth="1"/>
    <col min="138" max="138" width="8.33203125" style="1" customWidth="1"/>
    <col min="139" max="139" width="9.1640625" style="1" customWidth="1"/>
    <col min="140" max="140" width="3.83203125" style="1" customWidth="1"/>
    <col min="141" max="146" width="9.1640625" style="1" customWidth="1"/>
    <col min="147" max="147" width="12.5" style="1" customWidth="1"/>
    <col min="148" max="148" width="2.83203125" style="1" customWidth="1"/>
    <col min="149" max="163" width="9.1640625" style="1" customWidth="1"/>
    <col min="164" max="173" width="8.6640625" style="1"/>
  </cols>
  <sheetData>
    <row r="1" spans="1:173" x14ac:dyDescent="0.15">
      <c r="B1" s="27" t="s">
        <v>34</v>
      </c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 s="9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</row>
    <row r="2" spans="1:173" x14ac:dyDescent="0.15">
      <c r="B2" s="72" t="s">
        <v>332</v>
      </c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 s="9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</row>
    <row r="3" spans="1:173" hidden="1" x14ac:dyDescent="0.15">
      <c r="B3" s="72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 s="9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</row>
    <row r="4" spans="1:173" x14ac:dyDescent="0.15"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 s="9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</row>
    <row r="5" spans="1:173" ht="15" x14ac:dyDescent="0.2">
      <c r="A5" s="132" t="s">
        <v>214</v>
      </c>
      <c r="B5" t="s">
        <v>25</v>
      </c>
      <c r="C5" s="129"/>
      <c r="G5" s="129"/>
      <c r="H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L5" s="129"/>
      <c r="AW5" s="129"/>
      <c r="AX5" s="129"/>
      <c r="AY5" s="129"/>
      <c r="AZ5" s="129"/>
      <c r="BA5" s="129"/>
      <c r="BF5" s="129"/>
      <c r="BQ5" s="129"/>
      <c r="BR5" s="129"/>
      <c r="BV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DC5" s="131"/>
      <c r="DD5" s="129"/>
      <c r="DE5" s="129"/>
      <c r="DH5"/>
      <c r="DI5"/>
      <c r="DJ5"/>
      <c r="DK5"/>
      <c r="DL5"/>
      <c r="DM5"/>
      <c r="DN5"/>
      <c r="DO5"/>
      <c r="DP5" s="129"/>
      <c r="DQ5" s="129"/>
      <c r="DR5" s="129"/>
      <c r="DS5" s="129"/>
      <c r="DT5" s="129"/>
      <c r="DU5"/>
      <c r="DV5" s="21">
        <v>12</v>
      </c>
      <c r="DW5" s="26" t="s">
        <v>26</v>
      </c>
      <c r="DX5"/>
      <c r="DY5"/>
      <c r="DZ5"/>
      <c r="EA5"/>
      <c r="EB5"/>
      <c r="EC5"/>
      <c r="ED5"/>
      <c r="EE5"/>
      <c r="EF5"/>
      <c r="EG5" s="9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</row>
    <row r="6" spans="1:173" ht="15" x14ac:dyDescent="0.2">
      <c r="A6" s="132"/>
      <c r="C6" s="130" t="s">
        <v>165</v>
      </c>
      <c r="G6" s="129"/>
      <c r="H6" s="130" t="s">
        <v>166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 t="s">
        <v>167</v>
      </c>
      <c r="AC6" s="130"/>
      <c r="AD6" s="130"/>
      <c r="AE6" s="129"/>
      <c r="AF6" s="129" t="s">
        <v>168</v>
      </c>
      <c r="AG6" s="129"/>
      <c r="AL6" s="129"/>
      <c r="AW6" s="129"/>
      <c r="AX6" s="129"/>
      <c r="AY6" s="129" t="s">
        <v>169</v>
      </c>
      <c r="AZ6" s="129"/>
      <c r="BA6" s="129"/>
      <c r="BB6" s="29"/>
      <c r="BC6" s="29"/>
      <c r="BD6" s="86"/>
      <c r="BE6" s="29"/>
      <c r="BF6" s="129"/>
      <c r="BG6" s="29"/>
      <c r="BH6" s="29"/>
      <c r="BI6" s="30"/>
      <c r="BJ6" s="169"/>
      <c r="BK6" s="169"/>
      <c r="BL6" s="29"/>
      <c r="BM6" s="170"/>
      <c r="BN6" s="170"/>
      <c r="BO6" s="170"/>
      <c r="BP6" s="170"/>
      <c r="BQ6" s="129"/>
      <c r="BR6" s="129"/>
      <c r="BV6" s="129"/>
      <c r="BY6" s="129"/>
      <c r="BZ6" s="129"/>
      <c r="CA6" s="129" t="s">
        <v>170</v>
      </c>
      <c r="CB6" s="129"/>
      <c r="CC6" s="129"/>
      <c r="CD6" s="129"/>
      <c r="CE6" s="129"/>
      <c r="CF6" s="129"/>
      <c r="CG6" s="129"/>
      <c r="CH6" s="129" t="s">
        <v>171</v>
      </c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 t="s">
        <v>172</v>
      </c>
      <c r="CW6" s="129"/>
      <c r="CX6" s="129"/>
      <c r="CY6" s="29"/>
      <c r="CZ6" s="29"/>
      <c r="DA6" s="86"/>
      <c r="DB6" s="29"/>
      <c r="DC6" s="129"/>
      <c r="DD6" s="129"/>
      <c r="DE6" s="129"/>
      <c r="DF6" s="29"/>
      <c r="DG6" s="29"/>
      <c r="DH6" s="30"/>
      <c r="DI6" s="170"/>
      <c r="DJ6" s="170"/>
      <c r="DK6" s="170"/>
      <c r="DL6" s="170"/>
      <c r="DM6" s="170"/>
      <c r="DN6" s="170"/>
      <c r="DO6" s="170"/>
      <c r="DP6" s="129"/>
      <c r="DQ6" s="129" t="s">
        <v>173</v>
      </c>
      <c r="DR6" s="129"/>
      <c r="DS6" s="158" t="s">
        <v>360</v>
      </c>
      <c r="DT6" s="158"/>
      <c r="DU6"/>
      <c r="DV6"/>
      <c r="DW6"/>
      <c r="DX6"/>
      <c r="DY6"/>
      <c r="DZ6"/>
      <c r="EA6"/>
      <c r="EB6"/>
      <c r="EC6"/>
      <c r="ED6"/>
      <c r="EE6"/>
      <c r="EF6"/>
      <c r="EG6" s="9"/>
      <c r="EH6"/>
      <c r="EI6" s="29"/>
      <c r="EJ6"/>
      <c r="EK6" s="86" t="s">
        <v>73</v>
      </c>
      <c r="EL6" s="29"/>
      <c r="EM6" s="29"/>
      <c r="EN6" s="29"/>
      <c r="EO6" s="29"/>
      <c r="EP6" s="29"/>
      <c r="EQ6" s="29"/>
      <c r="ER6"/>
      <c r="ES6" s="86" t="s">
        <v>75</v>
      </c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30"/>
      <c r="FF6"/>
      <c r="FG6"/>
      <c r="FH6"/>
      <c r="FI6"/>
      <c r="FJ6"/>
      <c r="FK6"/>
      <c r="FL6"/>
      <c r="FM6"/>
      <c r="FN6"/>
      <c r="FO6"/>
      <c r="FP6"/>
      <c r="FQ6"/>
    </row>
    <row r="7" spans="1:173" ht="42" customHeight="1" thickBot="1" x14ac:dyDescent="0.25">
      <c r="A7" s="133"/>
      <c r="B7" s="53" t="s">
        <v>15</v>
      </c>
      <c r="C7" s="130" t="s">
        <v>174</v>
      </c>
      <c r="D7" s="74" t="s">
        <v>55</v>
      </c>
      <c r="E7" s="74" t="s">
        <v>11</v>
      </c>
      <c r="F7" s="74" t="s">
        <v>29</v>
      </c>
      <c r="G7" s="130"/>
      <c r="H7" s="130" t="s">
        <v>175</v>
      </c>
      <c r="I7" s="74" t="s">
        <v>12</v>
      </c>
      <c r="J7" s="74" t="s">
        <v>48</v>
      </c>
      <c r="K7" s="74" t="s">
        <v>47</v>
      </c>
      <c r="L7" s="130" t="s">
        <v>177</v>
      </c>
      <c r="M7" s="130" t="s">
        <v>178</v>
      </c>
      <c r="N7" s="130" t="s">
        <v>3</v>
      </c>
      <c r="O7" s="130" t="s">
        <v>179</v>
      </c>
      <c r="P7" s="130" t="s">
        <v>180</v>
      </c>
      <c r="Q7" s="130" t="s">
        <v>181</v>
      </c>
      <c r="R7" s="130" t="s">
        <v>182</v>
      </c>
      <c r="S7" s="130" t="s">
        <v>183</v>
      </c>
      <c r="T7" s="130" t="s">
        <v>184</v>
      </c>
      <c r="U7" s="130" t="s">
        <v>185</v>
      </c>
      <c r="V7" s="130" t="s">
        <v>186</v>
      </c>
      <c r="W7" s="130" t="s">
        <v>187</v>
      </c>
      <c r="X7" s="130" t="s">
        <v>188</v>
      </c>
      <c r="Y7" s="130" t="s">
        <v>189</v>
      </c>
      <c r="Z7" s="130" t="s">
        <v>190</v>
      </c>
      <c r="AA7" s="130"/>
      <c r="AB7" s="130" t="s">
        <v>191</v>
      </c>
      <c r="AC7" s="130" t="s">
        <v>192</v>
      </c>
      <c r="AD7" s="130" t="s">
        <v>193</v>
      </c>
      <c r="AE7" s="130"/>
      <c r="AF7" s="130" t="s">
        <v>194</v>
      </c>
      <c r="AG7" s="130" t="s">
        <v>195</v>
      </c>
      <c r="AH7" s="74" t="s">
        <v>5</v>
      </c>
      <c r="AI7" s="74" t="s">
        <v>6</v>
      </c>
      <c r="AJ7" s="74" t="s">
        <v>4</v>
      </c>
      <c r="AK7" s="74" t="s">
        <v>7</v>
      </c>
      <c r="AL7" s="130" t="s">
        <v>200</v>
      </c>
      <c r="AM7" s="74" t="s">
        <v>8</v>
      </c>
      <c r="AN7" s="74" t="s">
        <v>9</v>
      </c>
      <c r="AO7" s="74" t="s">
        <v>10</v>
      </c>
      <c r="AP7" s="87" t="s">
        <v>396</v>
      </c>
      <c r="AQ7" s="87" t="s">
        <v>397</v>
      </c>
      <c r="AR7" s="74" t="s">
        <v>42</v>
      </c>
      <c r="AS7" s="168" t="s">
        <v>398</v>
      </c>
      <c r="AT7" s="168" t="s">
        <v>341</v>
      </c>
      <c r="AU7" s="168" t="s">
        <v>342</v>
      </c>
      <c r="AV7" s="168" t="s">
        <v>340</v>
      </c>
      <c r="AW7" s="130" t="s">
        <v>204</v>
      </c>
      <c r="AX7" s="130"/>
      <c r="AY7" s="130" t="s">
        <v>205</v>
      </c>
      <c r="AZ7" s="130" t="s">
        <v>194</v>
      </c>
      <c r="BA7" s="130" t="s">
        <v>195</v>
      </c>
      <c r="BB7" s="74" t="s">
        <v>5</v>
      </c>
      <c r="BC7" s="74" t="s">
        <v>6</v>
      </c>
      <c r="BD7" s="74" t="s">
        <v>4</v>
      </c>
      <c r="BE7" s="74" t="s">
        <v>7</v>
      </c>
      <c r="BF7" s="130" t="s">
        <v>200</v>
      </c>
      <c r="BG7" s="74" t="s">
        <v>8</v>
      </c>
      <c r="BH7" s="74" t="s">
        <v>9</v>
      </c>
      <c r="BI7" s="74" t="s">
        <v>10</v>
      </c>
      <c r="BJ7" s="87" t="s">
        <v>396</v>
      </c>
      <c r="BK7" s="87" t="s">
        <v>397</v>
      </c>
      <c r="BL7" s="74" t="s">
        <v>42</v>
      </c>
      <c r="BM7" s="168" t="s">
        <v>398</v>
      </c>
      <c r="BN7" s="168" t="s">
        <v>341</v>
      </c>
      <c r="BO7" s="168" t="s">
        <v>342</v>
      </c>
      <c r="BP7" s="168" t="s">
        <v>340</v>
      </c>
      <c r="BQ7" s="130" t="s">
        <v>204</v>
      </c>
      <c r="BR7" s="130"/>
      <c r="BS7" s="74" t="s">
        <v>13</v>
      </c>
      <c r="BT7" s="74" t="s">
        <v>61</v>
      </c>
      <c r="BU7" s="74" t="s">
        <v>62</v>
      </c>
      <c r="BV7" s="130" t="s">
        <v>206</v>
      </c>
      <c r="BW7" s="74" t="s">
        <v>60</v>
      </c>
      <c r="BX7" s="74" t="s">
        <v>14</v>
      </c>
      <c r="BY7" s="130" t="s">
        <v>207</v>
      </c>
      <c r="BZ7" s="130"/>
      <c r="CA7" s="130" t="s">
        <v>208</v>
      </c>
      <c r="CB7" s="130" t="s">
        <v>209</v>
      </c>
      <c r="CC7" s="130" t="s">
        <v>210</v>
      </c>
      <c r="CD7" s="74" t="s">
        <v>358</v>
      </c>
      <c r="CE7" s="74" t="s">
        <v>359</v>
      </c>
      <c r="CF7" s="130" t="s">
        <v>211</v>
      </c>
      <c r="CG7" s="130"/>
      <c r="CH7" s="130" t="s">
        <v>176</v>
      </c>
      <c r="CI7" s="130" t="s">
        <v>194</v>
      </c>
      <c r="CJ7" s="130" t="s">
        <v>195</v>
      </c>
      <c r="CK7" s="130" t="s">
        <v>196</v>
      </c>
      <c r="CL7" s="130" t="s">
        <v>197</v>
      </c>
      <c r="CM7" s="130" t="s">
        <v>198</v>
      </c>
      <c r="CN7" s="130" t="s">
        <v>199</v>
      </c>
      <c r="CO7" s="130" t="s">
        <v>212</v>
      </c>
      <c r="CP7" s="130" t="s">
        <v>200</v>
      </c>
      <c r="CQ7" s="130" t="s">
        <v>213</v>
      </c>
      <c r="CR7" s="130" t="s">
        <v>201</v>
      </c>
      <c r="CS7" s="130" t="s">
        <v>202</v>
      </c>
      <c r="CT7" s="130" t="s">
        <v>203</v>
      </c>
      <c r="CU7" s="130"/>
      <c r="CV7" s="130" t="s">
        <v>176</v>
      </c>
      <c r="CW7" s="130" t="s">
        <v>194</v>
      </c>
      <c r="CX7" s="130" t="s">
        <v>195</v>
      </c>
      <c r="CY7" s="74" t="s">
        <v>5</v>
      </c>
      <c r="CZ7" s="74" t="s">
        <v>6</v>
      </c>
      <c r="DA7" s="74" t="s">
        <v>4</v>
      </c>
      <c r="DB7" s="74" t="s">
        <v>7</v>
      </c>
      <c r="DC7" s="130" t="s">
        <v>212</v>
      </c>
      <c r="DD7" s="130" t="s">
        <v>200</v>
      </c>
      <c r="DE7" s="130" t="s">
        <v>213</v>
      </c>
      <c r="DF7" s="74" t="s">
        <v>8</v>
      </c>
      <c r="DG7" s="74" t="s">
        <v>9</v>
      </c>
      <c r="DH7" s="74" t="s">
        <v>10</v>
      </c>
      <c r="DI7" s="87" t="s">
        <v>402</v>
      </c>
      <c r="DJ7" s="87" t="s">
        <v>397</v>
      </c>
      <c r="DK7" s="74" t="s">
        <v>42</v>
      </c>
      <c r="DL7" s="168" t="s">
        <v>398</v>
      </c>
      <c r="DM7" s="168" t="s">
        <v>341</v>
      </c>
      <c r="DN7" s="168" t="s">
        <v>342</v>
      </c>
      <c r="DO7" s="168" t="s">
        <v>340</v>
      </c>
      <c r="DP7" s="130" t="s">
        <v>204</v>
      </c>
      <c r="DQ7" s="130" t="s">
        <v>209</v>
      </c>
      <c r="DR7" s="130" t="s">
        <v>210</v>
      </c>
      <c r="DS7" s="159" t="s">
        <v>210</v>
      </c>
      <c r="DT7" s="160" t="s">
        <v>361</v>
      </c>
      <c r="DU7"/>
      <c r="DV7" s="53" t="s">
        <v>58</v>
      </c>
      <c r="DW7" s="53" t="s">
        <v>20</v>
      </c>
      <c r="DX7" s="74" t="s">
        <v>19</v>
      </c>
      <c r="DY7" s="74" t="s">
        <v>41</v>
      </c>
      <c r="DZ7" s="74" t="s">
        <v>33</v>
      </c>
      <c r="EA7" s="74" t="s">
        <v>39</v>
      </c>
      <c r="EB7" s="74" t="s">
        <v>38</v>
      </c>
      <c r="EC7" s="74" t="s">
        <v>54</v>
      </c>
      <c r="ED7" s="74" t="s">
        <v>49</v>
      </c>
      <c r="EE7" s="87" t="s">
        <v>100</v>
      </c>
      <c r="EF7" s="87" t="s">
        <v>350</v>
      </c>
      <c r="EG7" s="87" t="s">
        <v>469</v>
      </c>
      <c r="EH7" s="74" t="s">
        <v>50</v>
      </c>
      <c r="EI7" s="74" t="s">
        <v>22</v>
      </c>
      <c r="EJ7" s="75"/>
      <c r="EK7" s="87" t="s">
        <v>68</v>
      </c>
      <c r="EL7" s="87" t="s">
        <v>69</v>
      </c>
      <c r="EM7" s="87" t="s">
        <v>70</v>
      </c>
      <c r="EN7" s="87" t="s">
        <v>84</v>
      </c>
      <c r="EO7" s="87" t="s">
        <v>71</v>
      </c>
      <c r="EP7" s="87" t="s">
        <v>72</v>
      </c>
      <c r="EQ7" s="87" t="s">
        <v>74</v>
      </c>
      <c r="ER7" s="75"/>
      <c r="ES7" s="87" t="s">
        <v>76</v>
      </c>
      <c r="ET7" s="87" t="s">
        <v>77</v>
      </c>
      <c r="EU7" s="87" t="s">
        <v>78</v>
      </c>
      <c r="EV7" s="87" t="s">
        <v>79</v>
      </c>
      <c r="EW7" s="87" t="s">
        <v>80</v>
      </c>
      <c r="EX7" s="87" t="s">
        <v>81</v>
      </c>
      <c r="EY7" s="87" t="s">
        <v>82</v>
      </c>
      <c r="EZ7" s="87" t="s">
        <v>83</v>
      </c>
      <c r="FA7" s="87" t="s">
        <v>85</v>
      </c>
      <c r="FB7" s="87" t="s">
        <v>86</v>
      </c>
      <c r="FC7" s="87" t="s">
        <v>87</v>
      </c>
      <c r="FD7" s="87" t="s">
        <v>88</v>
      </c>
      <c r="FE7" s="87" t="s">
        <v>89</v>
      </c>
      <c r="FF7" s="87"/>
      <c r="FG7" s="87" t="s">
        <v>157</v>
      </c>
      <c r="FH7" s="87" t="s">
        <v>158</v>
      </c>
      <c r="FI7" s="87" t="s">
        <v>343</v>
      </c>
      <c r="FJ7" s="87" t="s">
        <v>344</v>
      </c>
      <c r="FK7" s="87" t="s">
        <v>345</v>
      </c>
      <c r="FL7" s="87"/>
      <c r="FM7" s="114" t="s">
        <v>416</v>
      </c>
      <c r="FN7" s="114" t="s">
        <v>417</v>
      </c>
      <c r="FO7" s="179" t="s">
        <v>418</v>
      </c>
      <c r="FP7" s="179" t="s">
        <v>419</v>
      </c>
      <c r="FQ7" s="179" t="s">
        <v>420</v>
      </c>
    </row>
    <row r="8" spans="1:173" ht="12.75" customHeight="1" x14ac:dyDescent="0.2">
      <c r="A8" s="133"/>
      <c r="B8" s="92" t="s">
        <v>1</v>
      </c>
      <c r="C8">
        <f>C24</f>
        <v>3933</v>
      </c>
      <c r="D8">
        <f t="shared" ref="D8:CA8" si="0">D24</f>
        <v>3451</v>
      </c>
      <c r="E8">
        <f t="shared" si="0"/>
        <v>3395</v>
      </c>
      <c r="F8">
        <f t="shared" si="0"/>
        <v>2672</v>
      </c>
      <c r="G8">
        <f t="shared" si="0"/>
        <v>0</v>
      </c>
      <c r="H8">
        <f t="shared" si="0"/>
        <v>88.31</v>
      </c>
      <c r="I8">
        <f t="shared" si="0"/>
        <v>8.24</v>
      </c>
      <c r="J8">
        <f t="shared" si="0"/>
        <v>1.98</v>
      </c>
      <c r="K8">
        <f t="shared" si="0"/>
        <v>3.48</v>
      </c>
      <c r="L8">
        <f t="shared" si="0"/>
        <v>3.68</v>
      </c>
      <c r="M8">
        <f t="shared" si="0"/>
        <v>1.3</v>
      </c>
      <c r="N8">
        <f t="shared" si="0"/>
        <v>0</v>
      </c>
      <c r="O8">
        <f t="shared" si="0"/>
        <v>0.09</v>
      </c>
      <c r="P8">
        <f t="shared" si="0"/>
        <v>0.01</v>
      </c>
      <c r="Q8">
        <f t="shared" si="0"/>
        <v>0.01</v>
      </c>
      <c r="R8">
        <f t="shared" si="0"/>
        <v>0.01</v>
      </c>
      <c r="S8">
        <f t="shared" si="0"/>
        <v>0</v>
      </c>
      <c r="T8">
        <f t="shared" si="0"/>
        <v>62.55</v>
      </c>
      <c r="U8">
        <f t="shared" si="0"/>
        <v>9.11</v>
      </c>
      <c r="V8">
        <f t="shared" si="0"/>
        <v>2.88</v>
      </c>
      <c r="W8">
        <f t="shared" si="0"/>
        <v>0.32</v>
      </c>
      <c r="X8">
        <f t="shared" si="0"/>
        <v>13.73</v>
      </c>
      <c r="Y8">
        <f t="shared" si="0"/>
        <v>0</v>
      </c>
      <c r="Z8">
        <f t="shared" si="0"/>
        <v>0</v>
      </c>
      <c r="AA8">
        <f t="shared" si="0"/>
        <v>0</v>
      </c>
      <c r="AB8">
        <f t="shared" si="0"/>
        <v>12.650000000000006</v>
      </c>
      <c r="AC8">
        <f t="shared" si="0"/>
        <v>55</v>
      </c>
      <c r="AD8">
        <f t="shared" si="0"/>
        <v>40.263400000000004</v>
      </c>
      <c r="AE8">
        <f t="shared" si="0"/>
        <v>0</v>
      </c>
      <c r="AF8">
        <f t="shared" si="0"/>
        <v>0.37</v>
      </c>
      <c r="AG8">
        <f t="shared" si="0"/>
        <v>0.24</v>
      </c>
      <c r="AH8">
        <f t="shared" si="0"/>
        <v>0.28000000000000003</v>
      </c>
      <c r="AI8">
        <f t="shared" si="0"/>
        <v>0.96</v>
      </c>
      <c r="AJ8">
        <f t="shared" si="0"/>
        <v>0.25</v>
      </c>
      <c r="AK8">
        <f t="shared" si="0"/>
        <v>0.18</v>
      </c>
      <c r="AL8">
        <f t="shared" si="0"/>
        <v>0.39</v>
      </c>
      <c r="AM8">
        <f t="shared" si="0"/>
        <v>0.28000000000000003</v>
      </c>
      <c r="AN8">
        <f t="shared" si="0"/>
        <v>0.06</v>
      </c>
      <c r="AO8">
        <f t="shared" si="0"/>
        <v>0.38</v>
      </c>
      <c r="AP8">
        <f t="shared" ref="AP8:AW8" si="1">AP24</f>
        <v>0.6</v>
      </c>
      <c r="AQ8">
        <f t="shared" si="1"/>
        <v>0.54</v>
      </c>
      <c r="AR8">
        <f t="shared" si="1"/>
        <v>0.19</v>
      </c>
      <c r="AS8">
        <f t="shared" si="1"/>
        <v>1.48</v>
      </c>
      <c r="AT8">
        <f t="shared" si="1"/>
        <v>0.31</v>
      </c>
      <c r="AU8">
        <f t="shared" si="1"/>
        <v>0.71</v>
      </c>
      <c r="AV8">
        <f t="shared" si="1"/>
        <v>0.38</v>
      </c>
      <c r="AW8">
        <f t="shared" si="1"/>
        <v>0.26</v>
      </c>
      <c r="AX8">
        <f t="shared" si="0"/>
        <v>0</v>
      </c>
      <c r="AY8">
        <f t="shared" si="0"/>
        <v>80</v>
      </c>
      <c r="AZ8">
        <f t="shared" si="0"/>
        <v>87</v>
      </c>
      <c r="BA8">
        <f t="shared" si="0"/>
        <v>83</v>
      </c>
      <c r="BB8">
        <f t="shared" si="0"/>
        <v>82</v>
      </c>
      <c r="BC8">
        <f t="shared" si="0"/>
        <v>87</v>
      </c>
      <c r="BD8">
        <f t="shared" si="0"/>
        <v>74</v>
      </c>
      <c r="BE8">
        <f t="shared" si="0"/>
        <v>83</v>
      </c>
      <c r="BF8">
        <f t="shared" si="0"/>
        <v>85</v>
      </c>
      <c r="BG8">
        <f t="shared" si="0"/>
        <v>77</v>
      </c>
      <c r="BH8">
        <f t="shared" si="0"/>
        <v>80</v>
      </c>
      <c r="BI8">
        <f t="shared" si="0"/>
        <v>82</v>
      </c>
      <c r="BJ8">
        <f t="shared" ref="BJ8:BQ8" si="2">BJ24</f>
        <v>81</v>
      </c>
      <c r="BK8">
        <f t="shared" si="2"/>
        <v>79</v>
      </c>
      <c r="BL8">
        <f t="shared" si="2"/>
        <v>80</v>
      </c>
      <c r="BM8">
        <f t="shared" si="2"/>
        <v>84</v>
      </c>
      <c r="BN8">
        <f t="shared" si="2"/>
        <v>84</v>
      </c>
      <c r="BO8">
        <f t="shared" si="2"/>
        <v>93</v>
      </c>
      <c r="BP8">
        <f t="shared" si="2"/>
        <v>82</v>
      </c>
      <c r="BQ8">
        <f t="shared" si="2"/>
        <v>79</v>
      </c>
      <c r="BR8">
        <f t="shared" si="0"/>
        <v>0</v>
      </c>
      <c r="BS8">
        <f t="shared" si="0"/>
        <v>0.02</v>
      </c>
      <c r="BT8">
        <f t="shared" si="0"/>
        <v>0.05</v>
      </c>
      <c r="BU8">
        <f t="shared" si="0"/>
        <v>0.32</v>
      </c>
      <c r="BV8">
        <f t="shared" si="0"/>
        <v>0.12</v>
      </c>
      <c r="BW8">
        <f t="shared" si="0"/>
        <v>0.02</v>
      </c>
      <c r="BX8">
        <f t="shared" si="0"/>
        <v>0.26</v>
      </c>
      <c r="BY8">
        <f t="shared" si="0"/>
        <v>0</v>
      </c>
      <c r="BZ8">
        <f t="shared" si="0"/>
        <v>0</v>
      </c>
      <c r="CA8">
        <f t="shared" si="0"/>
        <v>0.21</v>
      </c>
      <c r="CB8">
        <f t="shared" ref="CB8:ET8" si="3">CB24</f>
        <v>26</v>
      </c>
      <c r="CC8">
        <f t="shared" si="3"/>
        <v>34</v>
      </c>
      <c r="CD8">
        <f t="shared" si="3"/>
        <v>50</v>
      </c>
      <c r="CE8">
        <f t="shared" si="3"/>
        <v>60</v>
      </c>
      <c r="CF8">
        <f t="shared" si="3"/>
        <v>6.9575000000000031</v>
      </c>
      <c r="CG8">
        <f t="shared" si="3"/>
        <v>0</v>
      </c>
      <c r="CH8">
        <f t="shared" si="3"/>
        <v>5.3559999999999999</v>
      </c>
      <c r="CI8">
        <f t="shared" si="3"/>
        <v>0.27750000000000002</v>
      </c>
      <c r="CJ8">
        <f t="shared" si="3"/>
        <v>0.18479999999999999</v>
      </c>
      <c r="CK8">
        <f t="shared" si="3"/>
        <v>0.20440000000000003</v>
      </c>
      <c r="CL8">
        <f t="shared" si="3"/>
        <v>0.78720000000000001</v>
      </c>
      <c r="CM8">
        <f t="shared" si="3"/>
        <v>0.15</v>
      </c>
      <c r="CN8">
        <f t="shared" si="3"/>
        <v>0.1386</v>
      </c>
      <c r="CO8">
        <f t="shared" si="3"/>
        <v>0.28110000000000002</v>
      </c>
      <c r="CP8">
        <f t="shared" si="3"/>
        <v>0.30420000000000003</v>
      </c>
      <c r="CQ8">
        <f t="shared" si="3"/>
        <v>0.49660000000000004</v>
      </c>
      <c r="CR8">
        <f t="shared" si="3"/>
        <v>0.17080000000000001</v>
      </c>
      <c r="CS8">
        <f t="shared" si="3"/>
        <v>3.7199999999999997E-2</v>
      </c>
      <c r="CT8">
        <f t="shared" si="3"/>
        <v>0.26979999999999998</v>
      </c>
      <c r="CU8">
        <f t="shared" si="3"/>
        <v>0</v>
      </c>
      <c r="CV8">
        <f t="shared" si="3"/>
        <v>6.5920000000000005</v>
      </c>
      <c r="CW8" s="107">
        <f t="shared" ref="CW8:CW9" si="4">AF8*AZ8/100</f>
        <v>0.32189999999999996</v>
      </c>
      <c r="CX8" s="107">
        <f t="shared" ref="CX8:CX9" si="5">AG8*BA8/100</f>
        <v>0.19919999999999999</v>
      </c>
      <c r="CY8" s="107">
        <f t="shared" ref="CY8:CY9" si="6">AH8*BB8/100</f>
        <v>0.2296</v>
      </c>
      <c r="CZ8" s="107">
        <f t="shared" ref="CZ8:CZ9" si="7">AI8*BC8/100</f>
        <v>0.83519999999999994</v>
      </c>
      <c r="DA8" s="107">
        <f t="shared" ref="DA8:DA9" si="8">AJ8*BD8/100</f>
        <v>0.185</v>
      </c>
      <c r="DB8" s="107">
        <f t="shared" ref="DB8:DB9" si="9">AK8*BE8/100</f>
        <v>0.14940000000000001</v>
      </c>
      <c r="DC8" s="107">
        <f t="shared" ref="DC8:DC9" si="10">(AK8*BE8+BL8*AR8)/100</f>
        <v>0.3014</v>
      </c>
      <c r="DD8" s="107">
        <f>AL8*BF8/100</f>
        <v>0.33149999999999996</v>
      </c>
      <c r="DE8" s="107">
        <f t="shared" ref="DE8:DE71" si="11">DD8+BQ8*AW8/100</f>
        <v>0.53689999999999993</v>
      </c>
      <c r="DF8" s="107">
        <f>AM8*BG8/100</f>
        <v>0.21560000000000001</v>
      </c>
      <c r="DG8" s="107">
        <f>AN8*BH8/100</f>
        <v>4.8000000000000001E-2</v>
      </c>
      <c r="DH8" s="107">
        <f>AO8*BI8/100</f>
        <v>0.31159999999999999</v>
      </c>
      <c r="DI8" s="107">
        <f t="shared" ref="DI8:DP9" si="12">AP8*BJ8/100</f>
        <v>0.48599999999999999</v>
      </c>
      <c r="DJ8" s="107">
        <f t="shared" si="12"/>
        <v>0.42660000000000003</v>
      </c>
      <c r="DK8" s="107">
        <f t="shared" si="12"/>
        <v>0.152</v>
      </c>
      <c r="DL8" s="107">
        <f t="shared" si="12"/>
        <v>1.2431999999999999</v>
      </c>
      <c r="DM8" s="107">
        <f t="shared" si="12"/>
        <v>0.26039999999999996</v>
      </c>
      <c r="DN8" s="107">
        <f t="shared" si="12"/>
        <v>0.6603</v>
      </c>
      <c r="DO8" s="107">
        <f t="shared" si="12"/>
        <v>0.31159999999999999</v>
      </c>
      <c r="DP8" s="107">
        <f t="shared" si="12"/>
        <v>0.2054</v>
      </c>
      <c r="DQ8">
        <f t="shared" si="3"/>
        <v>6.7599999999999993E-2</v>
      </c>
      <c r="DR8">
        <f t="shared" si="3"/>
        <v>8.8399999999999992E-2</v>
      </c>
      <c r="DS8">
        <f t="shared" ref="DS8:DT8" si="13">DS24</f>
        <v>0.01</v>
      </c>
      <c r="DT8">
        <f t="shared" si="13"/>
        <v>1.2E-2</v>
      </c>
      <c r="DU8">
        <f t="shared" si="3"/>
        <v>0</v>
      </c>
      <c r="DV8">
        <f t="shared" si="3"/>
        <v>0</v>
      </c>
      <c r="DW8">
        <f t="shared" si="3"/>
        <v>250</v>
      </c>
      <c r="DX8">
        <f t="shared" si="3"/>
        <v>0.125</v>
      </c>
      <c r="DY8">
        <f t="shared" si="3"/>
        <v>2650</v>
      </c>
      <c r="DZ8">
        <f t="shared" si="3"/>
        <v>2730</v>
      </c>
      <c r="EA8">
        <f t="shared" si="3"/>
        <v>0.14000000000000001</v>
      </c>
      <c r="EB8">
        <f t="shared" si="3"/>
        <v>3.6400000000000002E-2</v>
      </c>
      <c r="EC8">
        <f t="shared" si="3"/>
        <v>1.92</v>
      </c>
      <c r="ED8">
        <f t="shared" si="3"/>
        <v>0</v>
      </c>
      <c r="EE8">
        <f t="shared" si="3"/>
        <v>0</v>
      </c>
      <c r="EF8"/>
      <c r="EG8" s="9">
        <f t="shared" si="3"/>
        <v>0.19</v>
      </c>
      <c r="EH8">
        <f t="shared" si="3"/>
        <v>43.5</v>
      </c>
      <c r="EI8">
        <f t="shared" si="3"/>
        <v>15.2</v>
      </c>
      <c r="EJ8">
        <f t="shared" si="3"/>
        <v>0</v>
      </c>
      <c r="EK8">
        <f t="shared" si="3"/>
        <v>0</v>
      </c>
      <c r="EL8">
        <f t="shared" si="3"/>
        <v>0</v>
      </c>
      <c r="EM8">
        <f t="shared" si="3"/>
        <v>0</v>
      </c>
      <c r="EN8">
        <f t="shared" si="3"/>
        <v>0</v>
      </c>
      <c r="EO8">
        <f t="shared" si="3"/>
        <v>0</v>
      </c>
      <c r="EP8">
        <f t="shared" si="3"/>
        <v>0</v>
      </c>
      <c r="EQ8">
        <f t="shared" si="3"/>
        <v>0</v>
      </c>
      <c r="ER8">
        <f t="shared" si="3"/>
        <v>0</v>
      </c>
      <c r="ES8">
        <f t="shared" si="3"/>
        <v>0</v>
      </c>
      <c r="ET8">
        <f t="shared" si="3"/>
        <v>0</v>
      </c>
      <c r="EU8">
        <f t="shared" ref="EU8:FN8" si="14">EU24</f>
        <v>0</v>
      </c>
      <c r="EV8">
        <f t="shared" si="14"/>
        <v>0</v>
      </c>
      <c r="EW8">
        <f t="shared" si="14"/>
        <v>0</v>
      </c>
      <c r="EX8">
        <f t="shared" si="14"/>
        <v>0</v>
      </c>
      <c r="EY8">
        <f t="shared" si="14"/>
        <v>0</v>
      </c>
      <c r="EZ8">
        <f t="shared" si="14"/>
        <v>0</v>
      </c>
      <c r="FA8">
        <f t="shared" si="14"/>
        <v>0</v>
      </c>
      <c r="FB8">
        <f t="shared" si="14"/>
        <v>0</v>
      </c>
      <c r="FC8">
        <f t="shared" si="14"/>
        <v>0</v>
      </c>
      <c r="FD8">
        <f t="shared" si="14"/>
        <v>0</v>
      </c>
      <c r="FE8">
        <f t="shared" si="14"/>
        <v>0</v>
      </c>
      <c r="FF8">
        <f t="shared" si="14"/>
        <v>0</v>
      </c>
      <c r="FG8">
        <f t="shared" si="14"/>
        <v>0</v>
      </c>
      <c r="FH8">
        <f t="shared" si="14"/>
        <v>0</v>
      </c>
      <c r="FI8">
        <f t="shared" si="14"/>
        <v>51.69</v>
      </c>
      <c r="FJ8">
        <f t="shared" si="14"/>
        <v>1.6</v>
      </c>
      <c r="FK8">
        <f t="shared" si="14"/>
        <v>1.854492</v>
      </c>
      <c r="FL8">
        <f t="shared" si="14"/>
        <v>0</v>
      </c>
      <c r="FM8">
        <f t="shared" si="14"/>
        <v>0.37308429118773945</v>
      </c>
      <c r="FN8">
        <f t="shared" si="14"/>
        <v>0.27490421455938702</v>
      </c>
      <c r="FO8"/>
      <c r="FP8"/>
      <c r="FQ8"/>
    </row>
    <row r="9" spans="1:173" ht="12.75" customHeight="1" x14ac:dyDescent="0.2">
      <c r="A9" s="133"/>
      <c r="B9" s="93" t="s">
        <v>0</v>
      </c>
      <c r="C9">
        <f>C70</f>
        <v>3881</v>
      </c>
      <c r="D9">
        <f t="shared" ref="D9:CA9" si="15">D70</f>
        <v>3596</v>
      </c>
      <c r="E9">
        <f t="shared" si="15"/>
        <v>3532</v>
      </c>
      <c r="F9">
        <f t="shared" si="15"/>
        <v>2780</v>
      </c>
      <c r="G9">
        <f t="shared" si="15"/>
        <v>0</v>
      </c>
      <c r="H9">
        <f t="shared" si="15"/>
        <v>89.39</v>
      </c>
      <c r="I9">
        <f t="shared" si="15"/>
        <v>9.36</v>
      </c>
      <c r="J9">
        <f t="shared" si="15"/>
        <v>2.14</v>
      </c>
      <c r="K9">
        <f t="shared" si="15"/>
        <v>3.42</v>
      </c>
      <c r="L9">
        <f t="shared" si="15"/>
        <v>2.12</v>
      </c>
      <c r="M9">
        <f t="shared" si="15"/>
        <v>1.64</v>
      </c>
      <c r="N9">
        <f t="shared" si="15"/>
        <v>0</v>
      </c>
      <c r="O9">
        <f t="shared" si="15"/>
        <v>0</v>
      </c>
      <c r="P9">
        <f t="shared" si="15"/>
        <v>0</v>
      </c>
      <c r="Q9">
        <f t="shared" si="15"/>
        <v>0</v>
      </c>
      <c r="R9">
        <f t="shared" si="15"/>
        <v>0</v>
      </c>
      <c r="S9">
        <f t="shared" si="15"/>
        <v>0</v>
      </c>
      <c r="T9">
        <f t="shared" si="15"/>
        <v>70.05</v>
      </c>
      <c r="U9">
        <f t="shared" si="15"/>
        <v>10.63</v>
      </c>
      <c r="V9">
        <f t="shared" si="15"/>
        <v>4.93</v>
      </c>
      <c r="W9">
        <f t="shared" si="15"/>
        <v>0.44</v>
      </c>
      <c r="X9">
        <f t="shared" si="15"/>
        <v>4.3499999999999996</v>
      </c>
      <c r="Y9">
        <f t="shared" si="15"/>
        <v>0</v>
      </c>
      <c r="Z9">
        <f t="shared" si="15"/>
        <v>0</v>
      </c>
      <c r="AA9">
        <f t="shared" si="15"/>
        <v>0</v>
      </c>
      <c r="AB9">
        <f t="shared" si="15"/>
        <v>4.9200000000000017</v>
      </c>
      <c r="AC9">
        <f t="shared" si="15"/>
        <v>66</v>
      </c>
      <c r="AD9">
        <f t="shared" si="15"/>
        <v>40.595999999999997</v>
      </c>
      <c r="AE9">
        <f t="shared" si="15"/>
        <v>0</v>
      </c>
      <c r="AF9">
        <f t="shared" si="15"/>
        <v>0.36</v>
      </c>
      <c r="AG9">
        <f t="shared" si="15"/>
        <v>0.21</v>
      </c>
      <c r="AH9">
        <f t="shared" si="15"/>
        <v>0.36</v>
      </c>
      <c r="AI9">
        <f t="shared" si="15"/>
        <v>1.21</v>
      </c>
      <c r="AJ9">
        <f t="shared" si="15"/>
        <v>0.2</v>
      </c>
      <c r="AK9">
        <f t="shared" si="15"/>
        <v>0.16</v>
      </c>
      <c r="AL9">
        <f t="shared" si="15"/>
        <v>0.48</v>
      </c>
      <c r="AM9">
        <f t="shared" si="15"/>
        <v>0.3</v>
      </c>
      <c r="AN9">
        <f t="shared" si="15"/>
        <v>7.0000000000000007E-2</v>
      </c>
      <c r="AO9">
        <f t="shared" si="15"/>
        <v>0.46</v>
      </c>
      <c r="AP9">
        <f t="shared" ref="AP9:AW9" si="16">AP70</f>
        <v>0</v>
      </c>
      <c r="AQ9">
        <f t="shared" si="16"/>
        <v>0</v>
      </c>
      <c r="AR9">
        <f t="shared" si="16"/>
        <v>0.18</v>
      </c>
      <c r="AS9">
        <f t="shared" si="16"/>
        <v>0</v>
      </c>
      <c r="AT9">
        <f t="shared" si="16"/>
        <v>0</v>
      </c>
      <c r="AU9">
        <f t="shared" si="16"/>
        <v>0</v>
      </c>
      <c r="AV9">
        <f t="shared" si="16"/>
        <v>0</v>
      </c>
      <c r="AW9">
        <f t="shared" si="16"/>
        <v>0.32</v>
      </c>
      <c r="AX9">
        <f t="shared" si="15"/>
        <v>0</v>
      </c>
      <c r="AY9">
        <f t="shared" si="15"/>
        <v>77</v>
      </c>
      <c r="AZ9">
        <f t="shared" si="15"/>
        <v>80</v>
      </c>
      <c r="BA9">
        <f t="shared" si="15"/>
        <v>74</v>
      </c>
      <c r="BB9">
        <f t="shared" si="15"/>
        <v>78</v>
      </c>
      <c r="BC9">
        <f t="shared" si="15"/>
        <v>83</v>
      </c>
      <c r="BD9">
        <f t="shared" si="15"/>
        <v>74</v>
      </c>
      <c r="BE9">
        <f t="shared" si="15"/>
        <v>79</v>
      </c>
      <c r="BF9">
        <f t="shared" si="15"/>
        <v>83</v>
      </c>
      <c r="BG9">
        <f t="shared" si="15"/>
        <v>75</v>
      </c>
      <c r="BH9">
        <f t="shared" si="15"/>
        <v>74</v>
      </c>
      <c r="BI9">
        <f t="shared" si="15"/>
        <v>77</v>
      </c>
      <c r="BJ9">
        <f t="shared" ref="BJ9:BQ9" si="17">BJ70</f>
        <v>0</v>
      </c>
      <c r="BK9">
        <f t="shared" si="17"/>
        <v>0</v>
      </c>
      <c r="BL9">
        <f t="shared" si="17"/>
        <v>67</v>
      </c>
      <c r="BM9">
        <f t="shared" si="17"/>
        <v>0</v>
      </c>
      <c r="BN9">
        <f t="shared" si="17"/>
        <v>0</v>
      </c>
      <c r="BO9">
        <f t="shared" si="17"/>
        <v>0</v>
      </c>
      <c r="BP9">
        <f t="shared" si="17"/>
        <v>0</v>
      </c>
      <c r="BQ9">
        <f t="shared" si="17"/>
        <v>75</v>
      </c>
      <c r="BR9">
        <f t="shared" si="15"/>
        <v>0</v>
      </c>
      <c r="BS9">
        <f t="shared" si="15"/>
        <v>0.02</v>
      </c>
      <c r="BT9">
        <f t="shared" si="15"/>
        <v>0.09</v>
      </c>
      <c r="BU9">
        <f t="shared" si="15"/>
        <v>0.35</v>
      </c>
      <c r="BV9">
        <f t="shared" si="15"/>
        <v>0.15</v>
      </c>
      <c r="BW9">
        <f t="shared" si="15"/>
        <v>0.01</v>
      </c>
      <c r="BX9">
        <f t="shared" si="15"/>
        <v>0.27</v>
      </c>
      <c r="BY9">
        <f t="shared" si="15"/>
        <v>0.08</v>
      </c>
      <c r="BZ9">
        <f t="shared" si="15"/>
        <v>0</v>
      </c>
      <c r="CA9">
        <f t="shared" si="15"/>
        <v>0.18</v>
      </c>
      <c r="CB9">
        <f t="shared" ref="CB9:ET9" si="18">CB70</f>
        <v>30</v>
      </c>
      <c r="CC9">
        <f t="shared" si="18"/>
        <v>40</v>
      </c>
      <c r="CD9">
        <f t="shared" si="18"/>
        <v>0</v>
      </c>
      <c r="CE9">
        <f t="shared" si="18"/>
        <v>0</v>
      </c>
      <c r="CF9">
        <f t="shared" si="18"/>
        <v>3.2472000000000012</v>
      </c>
      <c r="CG9">
        <f t="shared" si="18"/>
        <v>0</v>
      </c>
      <c r="CH9">
        <f t="shared" si="18"/>
        <v>5.8967999999999998</v>
      </c>
      <c r="CI9">
        <f t="shared" si="18"/>
        <v>0.24480000000000002</v>
      </c>
      <c r="CJ9">
        <f t="shared" si="18"/>
        <v>0.13439999999999999</v>
      </c>
      <c r="CK9">
        <f t="shared" si="18"/>
        <v>0.24840000000000001</v>
      </c>
      <c r="CL9">
        <f t="shared" si="18"/>
        <v>0.94379999999999997</v>
      </c>
      <c r="CM9">
        <f t="shared" si="18"/>
        <v>0.10600000000000001</v>
      </c>
      <c r="CN9">
        <f t="shared" si="18"/>
        <v>0.11840000000000001</v>
      </c>
      <c r="CO9">
        <f t="shared" si="18"/>
        <v>0.21920000000000001</v>
      </c>
      <c r="CP9">
        <f t="shared" si="18"/>
        <v>0.36479999999999996</v>
      </c>
      <c r="CQ9">
        <f t="shared" si="18"/>
        <v>0.58560000000000001</v>
      </c>
      <c r="CR9">
        <f t="shared" si="18"/>
        <v>0.16200000000000001</v>
      </c>
      <c r="CS9">
        <f t="shared" si="18"/>
        <v>4.5500000000000006E-2</v>
      </c>
      <c r="CT9">
        <f t="shared" si="18"/>
        <v>0.30360000000000004</v>
      </c>
      <c r="CU9">
        <f t="shared" si="18"/>
        <v>0</v>
      </c>
      <c r="CV9">
        <f t="shared" si="18"/>
        <v>7.2071999999999994</v>
      </c>
      <c r="CW9" s="107">
        <f t="shared" si="4"/>
        <v>0.28799999999999998</v>
      </c>
      <c r="CX9" s="107">
        <f t="shared" si="5"/>
        <v>0.15539999999999998</v>
      </c>
      <c r="CY9" s="107">
        <f t="shared" si="6"/>
        <v>0.28079999999999999</v>
      </c>
      <c r="CZ9" s="107">
        <f t="shared" si="7"/>
        <v>1.0043</v>
      </c>
      <c r="DA9" s="107">
        <f t="shared" si="8"/>
        <v>0.14800000000000002</v>
      </c>
      <c r="DB9" s="107">
        <f t="shared" si="9"/>
        <v>0.12640000000000001</v>
      </c>
      <c r="DC9" s="107">
        <f t="shared" si="10"/>
        <v>0.247</v>
      </c>
      <c r="DD9" s="107">
        <f t="shared" ref="DD9:DD72" si="19">AL9*BF9/100</f>
        <v>0.39839999999999998</v>
      </c>
      <c r="DE9" s="107">
        <f t="shared" si="11"/>
        <v>0.63839999999999997</v>
      </c>
      <c r="DF9" s="107">
        <f t="shared" ref="DF9:DF72" si="20">AM9*BG9/100</f>
        <v>0.22500000000000001</v>
      </c>
      <c r="DG9" s="107">
        <f t="shared" ref="DG9:DG72" si="21">AN9*BH9/100</f>
        <v>5.1800000000000006E-2</v>
      </c>
      <c r="DH9" s="107">
        <f t="shared" ref="DH9:DH72" si="22">AO9*BI9/100</f>
        <v>0.35420000000000001</v>
      </c>
      <c r="DI9" s="107">
        <f t="shared" si="12"/>
        <v>0</v>
      </c>
      <c r="DJ9" s="107">
        <f t="shared" si="12"/>
        <v>0</v>
      </c>
      <c r="DK9" s="107">
        <f t="shared" si="12"/>
        <v>0.12059999999999998</v>
      </c>
      <c r="DL9" s="107">
        <f t="shared" si="12"/>
        <v>0</v>
      </c>
      <c r="DM9" s="107">
        <f t="shared" si="12"/>
        <v>0</v>
      </c>
      <c r="DN9" s="107">
        <f t="shared" si="12"/>
        <v>0</v>
      </c>
      <c r="DO9" s="107">
        <f t="shared" si="12"/>
        <v>0</v>
      </c>
      <c r="DP9" s="107">
        <f t="shared" si="12"/>
        <v>0.24</v>
      </c>
      <c r="DQ9">
        <f t="shared" si="18"/>
        <v>8.1000000000000016E-2</v>
      </c>
      <c r="DR9">
        <f t="shared" si="18"/>
        <v>0.10800000000000001</v>
      </c>
      <c r="DS9">
        <f t="shared" ref="DS9:DT9" si="23">DS70</f>
        <v>0</v>
      </c>
      <c r="DT9">
        <f t="shared" si="23"/>
        <v>0</v>
      </c>
      <c r="DU9">
        <f t="shared" si="18"/>
        <v>0</v>
      </c>
      <c r="DV9">
        <f t="shared" si="18"/>
        <v>0</v>
      </c>
      <c r="DW9">
        <f t="shared" si="18"/>
        <v>200</v>
      </c>
      <c r="DX9">
        <f t="shared" si="18"/>
        <v>0.1</v>
      </c>
      <c r="DY9">
        <f t="shared" si="18"/>
        <v>2620</v>
      </c>
      <c r="DZ9">
        <f t="shared" si="18"/>
        <v>2650</v>
      </c>
      <c r="EA9">
        <f t="shared" si="18"/>
        <v>0.2</v>
      </c>
      <c r="EB9">
        <f t="shared" si="18"/>
        <v>5.4000000000000006E-2</v>
      </c>
      <c r="EC9">
        <f t="shared" si="18"/>
        <v>1.1299999999999999</v>
      </c>
      <c r="ED9">
        <f t="shared" si="18"/>
        <v>0</v>
      </c>
      <c r="EE9">
        <f t="shared" si="18"/>
        <v>0</v>
      </c>
      <c r="EF9"/>
      <c r="EG9" s="9">
        <f t="shared" si="18"/>
        <v>0.23</v>
      </c>
      <c r="EH9">
        <f t="shared" si="18"/>
        <v>41.04</v>
      </c>
      <c r="EI9">
        <f t="shared" si="18"/>
        <v>12.059999999999999</v>
      </c>
      <c r="EJ9">
        <f t="shared" si="18"/>
        <v>0</v>
      </c>
      <c r="EK9">
        <f t="shared" si="18"/>
        <v>0</v>
      </c>
      <c r="EL9">
        <f t="shared" si="18"/>
        <v>0</v>
      </c>
      <c r="EM9">
        <f t="shared" si="18"/>
        <v>0</v>
      </c>
      <c r="EN9">
        <f t="shared" si="18"/>
        <v>0</v>
      </c>
      <c r="EO9">
        <f t="shared" si="18"/>
        <v>0</v>
      </c>
      <c r="EP9">
        <f t="shared" si="18"/>
        <v>0</v>
      </c>
      <c r="EQ9">
        <f t="shared" si="18"/>
        <v>0</v>
      </c>
      <c r="ER9">
        <f t="shared" si="18"/>
        <v>0</v>
      </c>
      <c r="ES9">
        <f t="shared" si="18"/>
        <v>0</v>
      </c>
      <c r="ET9">
        <f t="shared" si="18"/>
        <v>0</v>
      </c>
      <c r="EU9">
        <f t="shared" ref="EU9:FN9" si="24">EU70</f>
        <v>0</v>
      </c>
      <c r="EV9">
        <f t="shared" si="24"/>
        <v>0</v>
      </c>
      <c r="EW9">
        <f t="shared" si="24"/>
        <v>0</v>
      </c>
      <c r="EX9">
        <f t="shared" si="24"/>
        <v>0</v>
      </c>
      <c r="EY9">
        <f t="shared" si="24"/>
        <v>0</v>
      </c>
      <c r="EZ9">
        <f t="shared" si="24"/>
        <v>0</v>
      </c>
      <c r="FA9">
        <f t="shared" si="24"/>
        <v>0</v>
      </c>
      <c r="FB9">
        <f t="shared" si="24"/>
        <v>0</v>
      </c>
      <c r="FC9">
        <f t="shared" si="24"/>
        <v>0</v>
      </c>
      <c r="FD9">
        <f t="shared" si="24"/>
        <v>0</v>
      </c>
      <c r="FE9">
        <f t="shared" si="24"/>
        <v>0</v>
      </c>
      <c r="FF9">
        <f t="shared" si="24"/>
        <v>0</v>
      </c>
      <c r="FG9">
        <f t="shared" si="24"/>
        <v>0</v>
      </c>
      <c r="FH9">
        <f t="shared" si="24"/>
        <v>0</v>
      </c>
      <c r="FI9">
        <f t="shared" si="24"/>
        <v>46.26</v>
      </c>
      <c r="FJ9">
        <f t="shared" si="24"/>
        <v>2.2999999999999998</v>
      </c>
      <c r="FK9">
        <f t="shared" si="24"/>
        <v>1.6607519999999998</v>
      </c>
      <c r="FL9">
        <f t="shared" si="24"/>
        <v>0</v>
      </c>
      <c r="FM9">
        <f t="shared" si="24"/>
        <v>0.35268346111719606</v>
      </c>
      <c r="FN9">
        <f t="shared" si="24"/>
        <v>0.27959772976202329</v>
      </c>
      <c r="FO9"/>
      <c r="FP9"/>
      <c r="FQ9"/>
    </row>
    <row r="10" spans="1:173" ht="12.75" customHeight="1" x14ac:dyDescent="0.15">
      <c r="A10" s="134">
        <v>1</v>
      </c>
      <c r="B10" t="s">
        <v>215</v>
      </c>
      <c r="C10">
        <v>4038</v>
      </c>
      <c r="D10">
        <v>1830</v>
      </c>
      <c r="E10">
        <v>1720</v>
      </c>
      <c r="F10">
        <v>897</v>
      </c>
      <c r="H10">
        <v>92.3</v>
      </c>
      <c r="I10">
        <v>16.25</v>
      </c>
      <c r="K10">
        <v>1.7</v>
      </c>
      <c r="L10">
        <v>1.7</v>
      </c>
      <c r="M10">
        <v>10.1</v>
      </c>
      <c r="T10">
        <v>3.4</v>
      </c>
      <c r="U10">
        <v>42</v>
      </c>
      <c r="V10">
        <v>32.15</v>
      </c>
      <c r="W10">
        <v>8.3000000000000007</v>
      </c>
      <c r="X10">
        <v>3.4</v>
      </c>
      <c r="Y10" t="s">
        <v>144</v>
      </c>
      <c r="Z10" t="s">
        <v>144</v>
      </c>
      <c r="AB10">
        <v>60.85</v>
      </c>
      <c r="AC10">
        <v>45</v>
      </c>
      <c r="AD10" s="136">
        <v>38.783000000000001</v>
      </c>
      <c r="AF10">
        <v>0.71</v>
      </c>
      <c r="AG10">
        <v>0.37</v>
      </c>
      <c r="AH10">
        <v>0.68</v>
      </c>
      <c r="AI10">
        <v>1.21</v>
      </c>
      <c r="AJ10">
        <v>0.74</v>
      </c>
      <c r="AK10">
        <v>0.25</v>
      </c>
      <c r="AL10">
        <v>0.84</v>
      </c>
      <c r="AM10">
        <v>0.7</v>
      </c>
      <c r="AN10">
        <v>0.24</v>
      </c>
      <c r="AO10">
        <v>0.86</v>
      </c>
      <c r="AR10">
        <v>0.18</v>
      </c>
      <c r="AW10">
        <v>0.55000000000000004</v>
      </c>
      <c r="AY10" s="23">
        <v>62.083333333333336</v>
      </c>
      <c r="AZ10">
        <v>74</v>
      </c>
      <c r="BA10">
        <v>59</v>
      </c>
      <c r="BB10">
        <v>68</v>
      </c>
      <c r="BC10">
        <v>71</v>
      </c>
      <c r="BD10">
        <v>56</v>
      </c>
      <c r="BE10">
        <v>71</v>
      </c>
      <c r="BF10">
        <v>70</v>
      </c>
      <c r="BG10">
        <v>63</v>
      </c>
      <c r="BH10">
        <v>46</v>
      </c>
      <c r="BI10">
        <v>64</v>
      </c>
      <c r="BL10">
        <v>37</v>
      </c>
      <c r="BQ10">
        <v>66</v>
      </c>
      <c r="BS10">
        <v>1.1399999999999999</v>
      </c>
      <c r="BT10">
        <v>0.47</v>
      </c>
      <c r="BU10">
        <v>2.2999999999999998</v>
      </c>
      <c r="BV10">
        <v>0.23</v>
      </c>
      <c r="BW10">
        <v>0.09</v>
      </c>
      <c r="BX10">
        <v>0.3</v>
      </c>
      <c r="BY10">
        <v>0.28999999999999998</v>
      </c>
      <c r="CB10">
        <v>50</v>
      </c>
      <c r="CC10">
        <v>55</v>
      </c>
      <c r="CF10" s="4">
        <v>27.3825</v>
      </c>
      <c r="CH10" s="107">
        <v>6.3375000000000004</v>
      </c>
      <c r="CI10" s="107">
        <v>0.45439999999999997</v>
      </c>
      <c r="CJ10" s="107">
        <v>0.185</v>
      </c>
      <c r="CK10" s="107">
        <v>0.40120000000000006</v>
      </c>
      <c r="CL10" s="107">
        <v>0.76230000000000009</v>
      </c>
      <c r="CM10" s="107">
        <v>0.37</v>
      </c>
      <c r="CN10" s="107">
        <v>0.16</v>
      </c>
      <c r="CO10" s="107">
        <v>0.19600000000000001</v>
      </c>
      <c r="CP10" s="107">
        <v>0.52079999999999993</v>
      </c>
      <c r="CQ10" s="107">
        <v>0.84529999999999994</v>
      </c>
      <c r="CR10" s="107">
        <v>0.35699999999999998</v>
      </c>
      <c r="CS10" s="107">
        <v>9.3599999999999989E-2</v>
      </c>
      <c r="CT10" s="107">
        <v>0.47299999999999998</v>
      </c>
      <c r="CU10" s="107"/>
      <c r="CV10" s="107">
        <v>10.088541666666668</v>
      </c>
      <c r="CW10" s="107">
        <f t="shared" ref="CW10:DB10" si="25">AF10*AZ10/100</f>
        <v>0.52539999999999998</v>
      </c>
      <c r="CX10" s="107">
        <f t="shared" si="25"/>
        <v>0.21829999999999999</v>
      </c>
      <c r="CY10" s="107">
        <f t="shared" si="25"/>
        <v>0.46240000000000003</v>
      </c>
      <c r="CZ10" s="107">
        <f t="shared" si="25"/>
        <v>0.85909999999999997</v>
      </c>
      <c r="DA10" s="107">
        <f t="shared" si="25"/>
        <v>0.41439999999999999</v>
      </c>
      <c r="DB10" s="107">
        <f t="shared" si="25"/>
        <v>0.17749999999999999</v>
      </c>
      <c r="DC10" s="107">
        <f>(AK10*BE10+BL10*AR10)/100</f>
        <v>0.24410000000000001</v>
      </c>
      <c r="DD10" s="107">
        <f t="shared" si="19"/>
        <v>0.58799999999999997</v>
      </c>
      <c r="DE10" s="107">
        <f t="shared" si="11"/>
        <v>0.95100000000000007</v>
      </c>
      <c r="DF10" s="107">
        <f t="shared" si="20"/>
        <v>0.44099999999999995</v>
      </c>
      <c r="DG10" s="107">
        <f t="shared" si="21"/>
        <v>0.1104</v>
      </c>
      <c r="DH10" s="107">
        <f t="shared" si="22"/>
        <v>0.5504</v>
      </c>
      <c r="DI10" s="107"/>
      <c r="DJ10" s="107"/>
      <c r="DK10" s="107"/>
      <c r="DL10" s="107"/>
      <c r="DM10" s="107"/>
      <c r="DN10" s="107"/>
      <c r="DO10" s="107"/>
      <c r="DP10" s="107"/>
      <c r="DQ10">
        <f t="shared" ref="DQ10:DQ73" si="26">CB10*BX10/100</f>
        <v>0.15</v>
      </c>
      <c r="DR10">
        <f t="shared" ref="DR10:DR73" si="27">CC10*BX10/100</f>
        <v>0.16500000000000001</v>
      </c>
      <c r="DS10">
        <f>BS10*CD10/100</f>
        <v>0</v>
      </c>
      <c r="DT10">
        <f>BS10*CE10/100</f>
        <v>0</v>
      </c>
      <c r="DU10"/>
      <c r="DV10" s="32"/>
      <c r="DW10" s="54">
        <f t="shared" ref="DW10" si="28">DX10*2000</f>
        <v>160</v>
      </c>
      <c r="DX10" s="33">
        <v>0.08</v>
      </c>
      <c r="DY10" s="34">
        <v>860</v>
      </c>
      <c r="DZ10" s="34">
        <v>1027</v>
      </c>
      <c r="EA10" s="35">
        <v>1</v>
      </c>
      <c r="EB10" s="36">
        <f t="shared" ref="EB10:EB41" si="29">BX10*EA10</f>
        <v>0.3</v>
      </c>
      <c r="EC10" s="37">
        <v>0.35</v>
      </c>
      <c r="ED10" s="80">
        <v>0</v>
      </c>
      <c r="EE10" s="81">
        <v>0</v>
      </c>
      <c r="EF10" s="81"/>
      <c r="EG10" s="390">
        <v>0.01</v>
      </c>
      <c r="EH10" s="126">
        <f>125*K10/10</f>
        <v>21.25</v>
      </c>
      <c r="EI10" s="38">
        <f>IF(AR10="","",AR10*BL10)</f>
        <v>6.66</v>
      </c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48">
        <f t="shared" ref="FM10:FM73" si="30">DH10/CZ10</f>
        <v>0.64067046909556513</v>
      </c>
      <c r="FN10" s="48">
        <f t="shared" ref="FN10:FN73" si="31">CY10/CZ10</f>
        <v>0.53823769060644866</v>
      </c>
      <c r="FO10" s="142">
        <f t="shared" ref="FO10:FO73" si="32">DH10/CY10</f>
        <v>1.1903114186851209</v>
      </c>
      <c r="FP10" s="142">
        <f t="shared" ref="FP10:FP73" si="33">DG10/CZ10</f>
        <v>0.12850657664998255</v>
      </c>
      <c r="FQ10" s="180">
        <f t="shared" ref="FQ10:FQ73" si="34">CZ10/I10</f>
        <v>5.2867692307692303E-2</v>
      </c>
    </row>
    <row r="11" spans="1:173" ht="12.75" customHeight="1" x14ac:dyDescent="0.15">
      <c r="A11" s="134">
        <v>2</v>
      </c>
      <c r="B11" t="s">
        <v>216</v>
      </c>
      <c r="C11">
        <v>4558</v>
      </c>
      <c r="D11">
        <v>3940</v>
      </c>
      <c r="E11">
        <v>3856</v>
      </c>
      <c r="F11">
        <v>2981</v>
      </c>
      <c r="H11">
        <v>90.8</v>
      </c>
      <c r="I11">
        <v>12.3</v>
      </c>
      <c r="K11">
        <v>8.0500000000000007</v>
      </c>
      <c r="M11">
        <v>2.9</v>
      </c>
      <c r="T11">
        <v>52.8</v>
      </c>
      <c r="U11">
        <v>2</v>
      </c>
      <c r="V11">
        <v>5.51</v>
      </c>
      <c r="AB11">
        <v>14.75</v>
      </c>
      <c r="AC11">
        <v>53</v>
      </c>
      <c r="AD11" s="136">
        <v>42.506500000000003</v>
      </c>
      <c r="AF11">
        <v>0.57999999999999996</v>
      </c>
      <c r="AG11">
        <v>0.22</v>
      </c>
      <c r="AH11">
        <v>0.51</v>
      </c>
      <c r="AI11">
        <v>0.88</v>
      </c>
      <c r="AJ11">
        <v>0.41</v>
      </c>
      <c r="AK11">
        <v>0.19</v>
      </c>
      <c r="AL11">
        <v>0.5</v>
      </c>
      <c r="AM11">
        <v>0.42</v>
      </c>
      <c r="AN11">
        <v>0.15</v>
      </c>
      <c r="AO11">
        <v>0.53</v>
      </c>
      <c r="AR11">
        <v>0.18</v>
      </c>
      <c r="AW11">
        <v>0.55000000000000004</v>
      </c>
      <c r="AY11" s="23">
        <v>86.875</v>
      </c>
      <c r="BB11">
        <v>94</v>
      </c>
      <c r="BC11">
        <v>90</v>
      </c>
      <c r="BD11">
        <v>77</v>
      </c>
      <c r="BE11">
        <v>90</v>
      </c>
      <c r="BG11">
        <v>69</v>
      </c>
      <c r="BH11">
        <v>91</v>
      </c>
      <c r="BI11">
        <v>93</v>
      </c>
      <c r="BL11">
        <v>91</v>
      </c>
      <c r="BS11">
        <v>0.13</v>
      </c>
      <c r="BT11">
        <v>1.48</v>
      </c>
      <c r="BU11">
        <v>0.39</v>
      </c>
      <c r="BV11">
        <v>0.24</v>
      </c>
      <c r="BW11">
        <v>1.1399999999999999</v>
      </c>
      <c r="BX11">
        <v>0.25</v>
      </c>
      <c r="BY11">
        <v>0.02</v>
      </c>
      <c r="CB11">
        <v>55</v>
      </c>
      <c r="CC11">
        <v>59</v>
      </c>
      <c r="CF11" s="4">
        <v>7.8174999999999999</v>
      </c>
      <c r="CH11" s="107">
        <v>0</v>
      </c>
      <c r="CI11" s="107">
        <v>0</v>
      </c>
      <c r="CJ11" s="107">
        <v>0</v>
      </c>
      <c r="CK11" s="107">
        <v>0</v>
      </c>
      <c r="CL11" s="107">
        <v>0</v>
      </c>
      <c r="CM11" s="107">
        <v>0</v>
      </c>
      <c r="CN11" s="107">
        <v>0</v>
      </c>
      <c r="CO11" s="107">
        <v>0</v>
      </c>
      <c r="CP11" s="107">
        <v>0</v>
      </c>
      <c r="CQ11" s="107">
        <v>0</v>
      </c>
      <c r="CR11" s="107">
        <v>0</v>
      </c>
      <c r="CS11" s="107">
        <v>0</v>
      </c>
      <c r="CT11" s="107">
        <v>0</v>
      </c>
      <c r="CU11" s="107"/>
      <c r="CV11" s="107">
        <v>10.685625</v>
      </c>
      <c r="CW11" s="107">
        <f t="shared" ref="CW11:CW37" si="35">AF11*AZ11/100</f>
        <v>0</v>
      </c>
      <c r="CX11" s="107">
        <f t="shared" ref="CX11:CX37" si="36">AG11*BA11/100</f>
        <v>0</v>
      </c>
      <c r="CY11" s="107">
        <f t="shared" ref="CY11:CY37" si="37">AH11*BB11/100</f>
        <v>0.47939999999999999</v>
      </c>
      <c r="CZ11" s="107">
        <f t="shared" ref="CZ11:CZ37" si="38">AI11*BC11/100</f>
        <v>0.79200000000000004</v>
      </c>
      <c r="DA11" s="107">
        <f t="shared" ref="DA11:DA37" si="39">AJ11*BD11/100</f>
        <v>0.31569999999999998</v>
      </c>
      <c r="DB11" s="107">
        <f t="shared" ref="DB11:DB37" si="40">AK11*BE11/100</f>
        <v>0.17100000000000001</v>
      </c>
      <c r="DC11" s="107">
        <f t="shared" ref="DC11:DC74" si="41">(AK11*BE11+BL11*AR11)/100</f>
        <v>0.33480000000000004</v>
      </c>
      <c r="DD11" s="107">
        <f t="shared" si="19"/>
        <v>0</v>
      </c>
      <c r="DE11" s="107">
        <f t="shared" si="11"/>
        <v>0</v>
      </c>
      <c r="DF11" s="107">
        <f t="shared" si="20"/>
        <v>0.2898</v>
      </c>
      <c r="DG11" s="107">
        <f t="shared" si="21"/>
        <v>0.13650000000000001</v>
      </c>
      <c r="DH11" s="107">
        <f t="shared" si="22"/>
        <v>0.4929</v>
      </c>
      <c r="DI11" s="107"/>
      <c r="DJ11" s="107"/>
      <c r="DK11" s="107"/>
      <c r="DL11" s="107"/>
      <c r="DM11" s="107"/>
      <c r="DN11" s="107"/>
      <c r="DO11" s="107"/>
      <c r="DP11" s="107"/>
      <c r="DQ11">
        <f t="shared" si="26"/>
        <v>0.13750000000000001</v>
      </c>
      <c r="DR11">
        <f t="shared" si="27"/>
        <v>0.14749999999999999</v>
      </c>
      <c r="DS11">
        <f t="shared" ref="DS11:DS74" si="42">BS11*CD11/100</f>
        <v>0</v>
      </c>
      <c r="DT11">
        <f t="shared" ref="DT11:DT74" si="43">BS11*CE11/100</f>
        <v>0</v>
      </c>
      <c r="DU11"/>
      <c r="DV11" s="32"/>
      <c r="DW11" s="54">
        <f t="shared" ref="DW11" si="44">DX11*2000</f>
        <v>100</v>
      </c>
      <c r="DX11" s="33">
        <v>0.05</v>
      </c>
      <c r="DY11" s="34"/>
      <c r="DZ11" s="34"/>
      <c r="EA11" s="42">
        <v>0.2</v>
      </c>
      <c r="EB11" s="36">
        <f t="shared" si="29"/>
        <v>0.05</v>
      </c>
      <c r="EC11" s="37">
        <v>5.7</v>
      </c>
      <c r="ED11" s="80">
        <v>0</v>
      </c>
      <c r="EE11" s="81">
        <v>0</v>
      </c>
      <c r="EF11" s="81"/>
      <c r="EG11" s="390">
        <v>0.18</v>
      </c>
      <c r="EH11" s="126">
        <f>125*K11/10</f>
        <v>100.62500000000001</v>
      </c>
      <c r="EI11" s="38">
        <f>IF(AR11="","",AR11*BL11)</f>
        <v>16.38</v>
      </c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48">
        <f t="shared" si="30"/>
        <v>0.62234848484848482</v>
      </c>
      <c r="FN11" s="48">
        <f t="shared" si="31"/>
        <v>0.60530303030303023</v>
      </c>
      <c r="FO11" s="142">
        <f t="shared" si="32"/>
        <v>1.028160200250313</v>
      </c>
      <c r="FP11" s="142">
        <f t="shared" si="33"/>
        <v>0.17234848484848486</v>
      </c>
      <c r="FQ11" s="180">
        <f t="shared" si="34"/>
        <v>6.4390243902439026E-2</v>
      </c>
    </row>
    <row r="12" spans="1:173" ht="12.75" customHeight="1" x14ac:dyDescent="0.15">
      <c r="A12" s="134">
        <v>3</v>
      </c>
      <c r="B12" t="s">
        <v>2</v>
      </c>
      <c r="C12">
        <v>3939</v>
      </c>
      <c r="D12">
        <v>3150</v>
      </c>
      <c r="E12">
        <v>3073</v>
      </c>
      <c r="F12">
        <v>2327</v>
      </c>
      <c r="H12">
        <v>89.9</v>
      </c>
      <c r="I12">
        <v>11.33</v>
      </c>
      <c r="J12">
        <v>3.9</v>
      </c>
      <c r="K12">
        <v>2.11</v>
      </c>
      <c r="L12">
        <v>2.1</v>
      </c>
      <c r="M12">
        <v>2.38</v>
      </c>
      <c r="T12">
        <v>50.21</v>
      </c>
      <c r="U12">
        <v>18.29</v>
      </c>
      <c r="V12">
        <v>5.78</v>
      </c>
      <c r="W12">
        <v>2.2799999999999998</v>
      </c>
      <c r="X12">
        <v>15.35</v>
      </c>
      <c r="AB12">
        <v>23.870000000000012</v>
      </c>
      <c r="AC12">
        <v>45</v>
      </c>
      <c r="AD12" s="136">
        <v>40.442400000000006</v>
      </c>
      <c r="AF12">
        <v>0.53</v>
      </c>
      <c r="AG12">
        <v>0.27</v>
      </c>
      <c r="AH12">
        <v>0.37</v>
      </c>
      <c r="AI12">
        <v>0.72</v>
      </c>
      <c r="AJ12">
        <v>0.4</v>
      </c>
      <c r="AK12">
        <v>0.2</v>
      </c>
      <c r="AL12">
        <v>0.53</v>
      </c>
      <c r="AM12">
        <v>0.36</v>
      </c>
      <c r="AN12">
        <v>0.13</v>
      </c>
      <c r="AO12">
        <v>0.52</v>
      </c>
      <c r="AR12">
        <v>0.26</v>
      </c>
      <c r="AW12">
        <v>0.28000000000000003</v>
      </c>
      <c r="AY12">
        <v>79</v>
      </c>
      <c r="AZ12">
        <v>85</v>
      </c>
      <c r="BA12">
        <v>81</v>
      </c>
      <c r="BB12">
        <v>79</v>
      </c>
      <c r="BC12">
        <v>81</v>
      </c>
      <c r="BD12">
        <v>75</v>
      </c>
      <c r="BE12">
        <v>82</v>
      </c>
      <c r="BF12">
        <v>81</v>
      </c>
      <c r="BG12">
        <v>76</v>
      </c>
      <c r="BH12">
        <v>82</v>
      </c>
      <c r="BI12">
        <v>80</v>
      </c>
      <c r="BL12">
        <v>81</v>
      </c>
      <c r="BQ12">
        <v>78</v>
      </c>
      <c r="BS12">
        <v>0.06</v>
      </c>
      <c r="BT12">
        <v>0.12</v>
      </c>
      <c r="BU12">
        <v>0.38</v>
      </c>
      <c r="BV12">
        <v>0.14000000000000001</v>
      </c>
      <c r="BW12">
        <v>0.02</v>
      </c>
      <c r="BX12">
        <v>0.35</v>
      </c>
      <c r="BY12">
        <v>0.13</v>
      </c>
      <c r="CA12">
        <v>0.22</v>
      </c>
      <c r="CB12">
        <v>39</v>
      </c>
      <c r="CC12">
        <v>45</v>
      </c>
      <c r="CF12" s="4">
        <v>10.741500000000006</v>
      </c>
      <c r="CH12" s="107">
        <v>7.4777999999999993</v>
      </c>
      <c r="CI12" s="107">
        <v>0.39750000000000002</v>
      </c>
      <c r="CJ12" s="107">
        <v>0.1971</v>
      </c>
      <c r="CK12" s="107">
        <v>0.26640000000000003</v>
      </c>
      <c r="CL12" s="107">
        <v>0.53280000000000005</v>
      </c>
      <c r="CM12" s="107">
        <v>0.26400000000000001</v>
      </c>
      <c r="CN12" s="107">
        <v>0.15200000000000002</v>
      </c>
      <c r="CO12" s="107">
        <v>0.34179999999999999</v>
      </c>
      <c r="CP12" s="107">
        <v>0.40279999999999999</v>
      </c>
      <c r="CQ12" s="107">
        <v>0.59319999999999995</v>
      </c>
      <c r="CR12" s="107">
        <v>0.21599999999999997</v>
      </c>
      <c r="CS12" s="107">
        <v>9.4899999999999998E-2</v>
      </c>
      <c r="CT12" s="107">
        <v>0.36920000000000003</v>
      </c>
      <c r="CU12" s="107"/>
      <c r="CV12" s="107">
        <v>8.9507000000000012</v>
      </c>
      <c r="CW12" s="107">
        <f t="shared" si="35"/>
        <v>0.45050000000000007</v>
      </c>
      <c r="CX12" s="107">
        <f t="shared" si="36"/>
        <v>0.21870000000000001</v>
      </c>
      <c r="CY12" s="107">
        <f t="shared" si="37"/>
        <v>0.2923</v>
      </c>
      <c r="CZ12" s="107">
        <f t="shared" si="38"/>
        <v>0.58320000000000005</v>
      </c>
      <c r="DA12" s="107">
        <f t="shared" si="39"/>
        <v>0.3</v>
      </c>
      <c r="DB12" s="107">
        <f t="shared" si="40"/>
        <v>0.16400000000000003</v>
      </c>
      <c r="DC12" s="107">
        <f t="shared" si="41"/>
        <v>0.3746000000000001</v>
      </c>
      <c r="DD12" s="107">
        <f t="shared" si="19"/>
        <v>0.42930000000000001</v>
      </c>
      <c r="DE12" s="107">
        <f t="shared" si="11"/>
        <v>0.64770000000000005</v>
      </c>
      <c r="DF12" s="107">
        <f t="shared" si="20"/>
        <v>0.27360000000000001</v>
      </c>
      <c r="DG12" s="107">
        <f t="shared" si="21"/>
        <v>0.1066</v>
      </c>
      <c r="DH12" s="107">
        <f t="shared" si="22"/>
        <v>0.41600000000000004</v>
      </c>
      <c r="DI12" s="107"/>
      <c r="DJ12" s="107"/>
      <c r="DK12" s="107"/>
      <c r="DL12" s="107"/>
      <c r="DM12" s="107"/>
      <c r="DN12" s="107"/>
      <c r="DO12" s="107"/>
      <c r="DP12" s="107"/>
      <c r="DQ12">
        <f t="shared" si="26"/>
        <v>0.13649999999999998</v>
      </c>
      <c r="DR12">
        <f t="shared" si="27"/>
        <v>0.15749999999999997</v>
      </c>
      <c r="DS12">
        <f t="shared" si="42"/>
        <v>0</v>
      </c>
      <c r="DT12">
        <f t="shared" si="43"/>
        <v>0</v>
      </c>
      <c r="DU12"/>
      <c r="DV12" s="32"/>
      <c r="DW12" s="54">
        <f t="shared" ref="DW12:DW75" si="45">DX12*2000</f>
        <v>85.714285714285708</v>
      </c>
      <c r="DX12" s="33">
        <f>1.8/42</f>
        <v>4.2857142857142858E-2</v>
      </c>
      <c r="DY12" s="34">
        <v>2280</v>
      </c>
      <c r="DZ12" s="34">
        <v>2320</v>
      </c>
      <c r="EA12" s="35">
        <v>0.3</v>
      </c>
      <c r="EB12" s="36">
        <f t="shared" si="29"/>
        <v>0.105</v>
      </c>
      <c r="EC12" s="37">
        <v>0.91</v>
      </c>
      <c r="ED12" s="80">
        <v>0</v>
      </c>
      <c r="EE12" s="81">
        <v>0</v>
      </c>
      <c r="EF12" s="81"/>
      <c r="EG12" s="390">
        <v>0.2</v>
      </c>
      <c r="EH12" s="126">
        <f>100*K12/10</f>
        <v>21.1</v>
      </c>
      <c r="EI12" s="38">
        <f>IF(AR12="","",AR12*BL12)</f>
        <v>21.060000000000002</v>
      </c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>
        <v>54.7</v>
      </c>
      <c r="FJ12" s="37">
        <v>5.5</v>
      </c>
      <c r="FK12" s="47">
        <f>SUM(FI12:FJ12)/100*K12</f>
        <v>1.2702199999999999</v>
      </c>
      <c r="FL12" s="37"/>
      <c r="FM12" s="48">
        <f t="shared" si="30"/>
        <v>0.71330589849108372</v>
      </c>
      <c r="FN12" s="48">
        <f t="shared" si="31"/>
        <v>0.50120027434842251</v>
      </c>
      <c r="FO12" s="142">
        <f t="shared" si="32"/>
        <v>1.4231953472459802</v>
      </c>
      <c r="FP12" s="142">
        <f t="shared" si="33"/>
        <v>0.18278463648834017</v>
      </c>
      <c r="FQ12" s="180">
        <f t="shared" si="34"/>
        <v>5.1473962930273613E-2</v>
      </c>
    </row>
    <row r="13" spans="1:173" ht="12.75" customHeight="1" x14ac:dyDescent="0.15">
      <c r="A13" s="134">
        <v>4</v>
      </c>
      <c r="B13" t="s">
        <v>217</v>
      </c>
      <c r="C13">
        <v>3959</v>
      </c>
      <c r="D13">
        <v>3266</v>
      </c>
      <c r="E13">
        <v>3179</v>
      </c>
      <c r="F13">
        <v>2464</v>
      </c>
      <c r="H13">
        <v>89.58</v>
      </c>
      <c r="I13">
        <v>12.77</v>
      </c>
      <c r="J13">
        <v>1.1000000000000001</v>
      </c>
      <c r="K13">
        <v>3.17</v>
      </c>
      <c r="M13">
        <v>1.94</v>
      </c>
      <c r="T13">
        <v>54.56</v>
      </c>
      <c r="U13">
        <v>12.55</v>
      </c>
      <c r="V13">
        <v>2.1800000000000002</v>
      </c>
      <c r="AB13">
        <v>17.14</v>
      </c>
      <c r="AC13">
        <v>45</v>
      </c>
      <c r="AD13" s="136">
        <v>40.896700000000003</v>
      </c>
      <c r="AF13">
        <v>0.68</v>
      </c>
      <c r="AG13">
        <v>0.4</v>
      </c>
      <c r="AH13">
        <v>0.35</v>
      </c>
      <c r="AI13">
        <v>0.74</v>
      </c>
      <c r="AJ13">
        <v>0.51</v>
      </c>
      <c r="AK13">
        <v>0.2</v>
      </c>
      <c r="AL13">
        <v>0.54</v>
      </c>
      <c r="AM13">
        <v>0.37</v>
      </c>
      <c r="AN13">
        <v>0.13</v>
      </c>
      <c r="AO13">
        <v>0.55000000000000004</v>
      </c>
      <c r="AR13">
        <v>0.23</v>
      </c>
      <c r="AW13">
        <v>0.25</v>
      </c>
      <c r="AY13">
        <v>69</v>
      </c>
      <c r="AZ13">
        <v>77</v>
      </c>
      <c r="BA13">
        <v>77</v>
      </c>
      <c r="BB13">
        <v>75</v>
      </c>
      <c r="BC13">
        <v>75</v>
      </c>
      <c r="BD13">
        <v>65</v>
      </c>
      <c r="BE13">
        <v>73</v>
      </c>
      <c r="BF13">
        <v>75</v>
      </c>
      <c r="BG13">
        <v>70</v>
      </c>
      <c r="BI13">
        <v>75</v>
      </c>
      <c r="BL13">
        <v>72</v>
      </c>
      <c r="BQ13">
        <v>74</v>
      </c>
      <c r="BS13">
        <v>0.06</v>
      </c>
      <c r="BT13">
        <v>0.1</v>
      </c>
      <c r="BU13">
        <v>0.44</v>
      </c>
      <c r="BV13">
        <v>0.12</v>
      </c>
      <c r="BW13">
        <v>0.02</v>
      </c>
      <c r="BX13">
        <v>0.36</v>
      </c>
      <c r="CA13">
        <v>0.26</v>
      </c>
      <c r="CB13">
        <v>31</v>
      </c>
      <c r="CC13">
        <v>36</v>
      </c>
      <c r="CF13" s="4">
        <v>7.713000000000001</v>
      </c>
      <c r="CH13" s="107">
        <v>8.0450999999999997</v>
      </c>
      <c r="CI13" s="107">
        <v>0.46240000000000003</v>
      </c>
      <c r="CJ13" s="107">
        <v>0.28400000000000003</v>
      </c>
      <c r="CK13" s="107">
        <v>0.22750000000000001</v>
      </c>
      <c r="CL13" s="107">
        <v>0.50319999999999998</v>
      </c>
      <c r="CM13" s="107">
        <v>0.28560000000000002</v>
      </c>
      <c r="CN13" s="107">
        <v>0.13600000000000001</v>
      </c>
      <c r="CO13" s="107">
        <v>0.28320000000000001</v>
      </c>
      <c r="CP13" s="107">
        <v>0.37800000000000006</v>
      </c>
      <c r="CQ13" s="107">
        <v>0.54050000000000009</v>
      </c>
      <c r="CR13" s="107">
        <v>0.2072</v>
      </c>
      <c r="CS13" s="107">
        <v>0</v>
      </c>
      <c r="CT13" s="107">
        <v>0.36300000000000004</v>
      </c>
      <c r="CU13" s="107"/>
      <c r="CV13" s="107">
        <v>8.8112999999999992</v>
      </c>
      <c r="CW13" s="107">
        <f t="shared" si="35"/>
        <v>0.52360000000000007</v>
      </c>
      <c r="CX13" s="107">
        <f t="shared" si="36"/>
        <v>0.308</v>
      </c>
      <c r="CY13" s="107">
        <f t="shared" si="37"/>
        <v>0.26250000000000001</v>
      </c>
      <c r="CZ13" s="107">
        <f t="shared" si="38"/>
        <v>0.55500000000000005</v>
      </c>
      <c r="DA13" s="107">
        <f t="shared" si="39"/>
        <v>0.33149999999999996</v>
      </c>
      <c r="DB13" s="107">
        <f t="shared" si="40"/>
        <v>0.14600000000000002</v>
      </c>
      <c r="DC13" s="107">
        <f t="shared" si="41"/>
        <v>0.31160000000000004</v>
      </c>
      <c r="DD13" s="107">
        <f t="shared" si="19"/>
        <v>0.40500000000000003</v>
      </c>
      <c r="DE13" s="107">
        <f t="shared" si="11"/>
        <v>0.59000000000000008</v>
      </c>
      <c r="DF13" s="107">
        <f t="shared" si="20"/>
        <v>0.25900000000000001</v>
      </c>
      <c r="DG13" s="107">
        <f t="shared" si="21"/>
        <v>0</v>
      </c>
      <c r="DH13" s="107">
        <f t="shared" si="22"/>
        <v>0.41249999999999998</v>
      </c>
      <c r="DI13" s="107"/>
      <c r="DJ13" s="107"/>
      <c r="DK13" s="107"/>
      <c r="DL13" s="107"/>
      <c r="DM13" s="107"/>
      <c r="DN13" s="107"/>
      <c r="DO13" s="107"/>
      <c r="DP13" s="107"/>
      <c r="DQ13">
        <f t="shared" si="26"/>
        <v>0.1116</v>
      </c>
      <c r="DR13">
        <f t="shared" si="27"/>
        <v>0.12959999999999999</v>
      </c>
      <c r="DS13">
        <f t="shared" si="42"/>
        <v>0</v>
      </c>
      <c r="DT13">
        <f t="shared" si="43"/>
        <v>0</v>
      </c>
      <c r="DU13"/>
      <c r="DV13" s="32"/>
      <c r="DW13" s="54">
        <f t="shared" si="45"/>
        <v>0</v>
      </c>
      <c r="DX13" s="33"/>
      <c r="DY13" s="77"/>
      <c r="DZ13" s="77"/>
      <c r="EA13" s="35"/>
      <c r="EB13" s="36">
        <f t="shared" si="29"/>
        <v>0</v>
      </c>
      <c r="EC13" s="73"/>
      <c r="ED13" s="80"/>
      <c r="EE13" s="81"/>
      <c r="EF13" s="81"/>
      <c r="EG13" s="390">
        <v>0.26</v>
      </c>
      <c r="EH13" s="76"/>
      <c r="EI13" s="38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>
        <v>54.7</v>
      </c>
      <c r="FJ13" s="37">
        <v>5.5</v>
      </c>
      <c r="FK13" s="47">
        <f>SUM(FI13:FJ13)/100*K13</f>
        <v>1.9083399999999999</v>
      </c>
      <c r="FL13" s="37"/>
      <c r="FM13" s="48">
        <f t="shared" si="30"/>
        <v>0.74324324324324309</v>
      </c>
      <c r="FN13" s="48">
        <f t="shared" si="31"/>
        <v>0.47297297297297297</v>
      </c>
      <c r="FO13" s="142">
        <f t="shared" si="32"/>
        <v>1.5714285714285712</v>
      </c>
      <c r="FP13" s="142">
        <f t="shared" si="33"/>
        <v>0</v>
      </c>
      <c r="FQ13" s="180">
        <f t="shared" si="34"/>
        <v>4.3461237274862966E-2</v>
      </c>
    </row>
    <row r="14" spans="1:173" x14ac:dyDescent="0.15">
      <c r="A14" s="134">
        <v>5</v>
      </c>
      <c r="B14" t="s">
        <v>218</v>
      </c>
      <c r="C14">
        <v>4473</v>
      </c>
      <c r="D14">
        <v>3245</v>
      </c>
      <c r="E14">
        <v>3060</v>
      </c>
      <c r="F14">
        <v>2143</v>
      </c>
      <c r="H14">
        <v>88.12</v>
      </c>
      <c r="I14">
        <v>27.16</v>
      </c>
      <c r="J14">
        <v>8.5500000000000007</v>
      </c>
      <c r="K14">
        <v>1.3</v>
      </c>
      <c r="M14">
        <v>3.43</v>
      </c>
      <c r="N14">
        <v>0</v>
      </c>
      <c r="O14">
        <v>0</v>
      </c>
      <c r="P14">
        <v>0</v>
      </c>
      <c r="Q14">
        <v>0</v>
      </c>
      <c r="R14">
        <v>0</v>
      </c>
      <c r="T14">
        <v>39.22</v>
      </c>
      <c r="U14">
        <v>13.29</v>
      </c>
      <c r="V14">
        <v>10.33</v>
      </c>
      <c r="W14">
        <v>0.48</v>
      </c>
      <c r="AB14">
        <v>17.010000000000012</v>
      </c>
      <c r="AC14">
        <v>60</v>
      </c>
      <c r="AD14" s="136">
        <v>40.294100000000007</v>
      </c>
      <c r="AF14">
        <v>2.4300000000000002</v>
      </c>
      <c r="AG14">
        <v>0.72</v>
      </c>
      <c r="AH14">
        <v>1.1299999999999999</v>
      </c>
      <c r="AI14">
        <v>1.94</v>
      </c>
      <c r="AJ14">
        <v>1.65</v>
      </c>
      <c r="AK14">
        <v>0.19</v>
      </c>
      <c r="AL14">
        <v>1.19</v>
      </c>
      <c r="AM14">
        <v>0.91</v>
      </c>
      <c r="AN14">
        <v>0.22</v>
      </c>
      <c r="AO14">
        <v>1.22</v>
      </c>
      <c r="AR14">
        <v>0.34</v>
      </c>
      <c r="AW14">
        <v>0.84</v>
      </c>
      <c r="AY14">
        <v>79</v>
      </c>
      <c r="AZ14">
        <v>90</v>
      </c>
      <c r="BA14">
        <v>79</v>
      </c>
      <c r="BB14">
        <v>81</v>
      </c>
      <c r="BC14">
        <v>82</v>
      </c>
      <c r="BD14">
        <v>85</v>
      </c>
      <c r="BE14">
        <v>73</v>
      </c>
      <c r="BF14">
        <v>80</v>
      </c>
      <c r="BG14">
        <v>78</v>
      </c>
      <c r="BH14">
        <v>64</v>
      </c>
      <c r="BI14">
        <v>78</v>
      </c>
      <c r="BL14">
        <v>62</v>
      </c>
      <c r="BQ14">
        <v>82</v>
      </c>
      <c r="BS14">
        <v>0.14000000000000001</v>
      </c>
      <c r="BT14">
        <v>7.0000000000000007E-2</v>
      </c>
      <c r="BU14">
        <v>1.2</v>
      </c>
      <c r="BV14">
        <v>0.15</v>
      </c>
      <c r="BW14">
        <v>0.03</v>
      </c>
      <c r="BX14">
        <v>0.42</v>
      </c>
      <c r="BY14">
        <v>0.28999999999999998</v>
      </c>
      <c r="CA14">
        <v>0.23</v>
      </c>
      <c r="CB14">
        <v>32</v>
      </c>
      <c r="CC14">
        <v>36</v>
      </c>
      <c r="CF14" s="4">
        <v>10.206000000000007</v>
      </c>
      <c r="CH14" s="107">
        <v>19.826800000000002</v>
      </c>
      <c r="CI14" s="107">
        <v>2.1383999999999999</v>
      </c>
      <c r="CJ14" s="107">
        <v>0.54720000000000002</v>
      </c>
      <c r="CK14" s="107">
        <v>0.87009999999999987</v>
      </c>
      <c r="CL14" s="107">
        <v>1.5326</v>
      </c>
      <c r="CM14" s="107">
        <v>1.3529999999999998</v>
      </c>
      <c r="CN14" s="107">
        <v>0.1235</v>
      </c>
      <c r="CO14" s="107">
        <v>0.31390000000000001</v>
      </c>
      <c r="CP14" s="107">
        <v>0.9163</v>
      </c>
      <c r="CQ14" s="107">
        <v>1.5379</v>
      </c>
      <c r="CR14" s="107">
        <v>0.63700000000000001</v>
      </c>
      <c r="CS14" s="107">
        <v>0.13419999999999999</v>
      </c>
      <c r="CT14" s="107">
        <v>0.89060000000000006</v>
      </c>
      <c r="CU14" s="107"/>
      <c r="CV14" s="107">
        <v>21.456399999999999</v>
      </c>
      <c r="CW14" s="107">
        <f t="shared" si="35"/>
        <v>2.1870000000000003</v>
      </c>
      <c r="CX14" s="107">
        <f t="shared" si="36"/>
        <v>0.56879999999999997</v>
      </c>
      <c r="CY14" s="107">
        <f t="shared" si="37"/>
        <v>0.91529999999999989</v>
      </c>
      <c r="CZ14" s="107">
        <f t="shared" si="38"/>
        <v>1.5907999999999998</v>
      </c>
      <c r="DA14" s="107">
        <f t="shared" si="39"/>
        <v>1.4025000000000001</v>
      </c>
      <c r="DB14" s="107">
        <f t="shared" si="40"/>
        <v>0.13870000000000002</v>
      </c>
      <c r="DC14" s="107">
        <f t="shared" si="41"/>
        <v>0.34950000000000003</v>
      </c>
      <c r="DD14" s="107">
        <f t="shared" si="19"/>
        <v>0.95199999999999985</v>
      </c>
      <c r="DE14" s="107">
        <f t="shared" si="11"/>
        <v>1.6407999999999998</v>
      </c>
      <c r="DF14" s="107">
        <f t="shared" si="20"/>
        <v>0.70979999999999999</v>
      </c>
      <c r="DG14" s="107">
        <f t="shared" si="21"/>
        <v>0.14080000000000001</v>
      </c>
      <c r="DH14" s="107">
        <f t="shared" si="22"/>
        <v>0.9516</v>
      </c>
      <c r="DI14" s="107"/>
      <c r="DJ14" s="107"/>
      <c r="DK14" s="107"/>
      <c r="DL14" s="107"/>
      <c r="DM14" s="107"/>
      <c r="DN14" s="107"/>
      <c r="DO14" s="107"/>
      <c r="DP14" s="107"/>
      <c r="DQ14">
        <f t="shared" si="26"/>
        <v>0.13439999999999999</v>
      </c>
      <c r="DR14">
        <f t="shared" si="27"/>
        <v>0.1512</v>
      </c>
      <c r="DS14">
        <f t="shared" si="42"/>
        <v>0</v>
      </c>
      <c r="DT14">
        <f t="shared" si="43"/>
        <v>0</v>
      </c>
      <c r="DU14"/>
      <c r="DV14" s="32"/>
      <c r="DW14" s="54">
        <f t="shared" si="45"/>
        <v>0</v>
      </c>
      <c r="DX14" s="33"/>
      <c r="DY14" s="34"/>
      <c r="DZ14" s="34"/>
      <c r="EA14" s="45"/>
      <c r="EB14" s="36">
        <f t="shared" si="29"/>
        <v>0</v>
      </c>
      <c r="EC14" s="37"/>
      <c r="ED14" s="80"/>
      <c r="EE14" s="81"/>
      <c r="EF14" s="81"/>
      <c r="EG14" s="390">
        <v>0.23</v>
      </c>
      <c r="EH14" s="70"/>
      <c r="EI14" s="38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48">
        <f t="shared" si="30"/>
        <v>0.59818959014332418</v>
      </c>
      <c r="FN14" s="48">
        <f t="shared" si="31"/>
        <v>0.57537088257480518</v>
      </c>
      <c r="FO14" s="142">
        <f t="shared" si="32"/>
        <v>1.0396591281547034</v>
      </c>
      <c r="FP14" s="142">
        <f t="shared" si="33"/>
        <v>8.8508926326376677E-2</v>
      </c>
      <c r="FQ14" s="180">
        <f t="shared" si="34"/>
        <v>5.8571428571428566E-2</v>
      </c>
    </row>
    <row r="15" spans="1:173" x14ac:dyDescent="0.15">
      <c r="A15" s="134">
        <v>6</v>
      </c>
      <c r="B15" t="s">
        <v>219</v>
      </c>
      <c r="C15">
        <v>5330</v>
      </c>
      <c r="D15">
        <v>4376</v>
      </c>
      <c r="E15">
        <v>3773</v>
      </c>
      <c r="F15">
        <v>2279</v>
      </c>
      <c r="H15">
        <v>93.23</v>
      </c>
      <c r="I15">
        <v>88.65</v>
      </c>
      <c r="K15">
        <v>1.45</v>
      </c>
      <c r="L15">
        <v>2</v>
      </c>
      <c r="M15">
        <v>5.82</v>
      </c>
      <c r="T15">
        <v>0</v>
      </c>
      <c r="V15">
        <v>0</v>
      </c>
      <c r="AB15">
        <v>0</v>
      </c>
      <c r="AC15">
        <v>0</v>
      </c>
      <c r="AD15" s="136">
        <v>48.086500000000001</v>
      </c>
      <c r="AF15">
        <v>3.83</v>
      </c>
      <c r="AG15">
        <v>5.39</v>
      </c>
      <c r="AH15">
        <v>0.97</v>
      </c>
      <c r="AI15">
        <v>11.45</v>
      </c>
      <c r="AJ15">
        <v>8.6</v>
      </c>
      <c r="AK15">
        <v>1.18</v>
      </c>
      <c r="AL15">
        <v>6.15</v>
      </c>
      <c r="AM15">
        <v>4.3600000000000003</v>
      </c>
      <c r="AN15">
        <v>1.34</v>
      </c>
      <c r="AO15">
        <v>7.96</v>
      </c>
      <c r="AR15">
        <v>1.26</v>
      </c>
      <c r="AW15">
        <v>2.66</v>
      </c>
      <c r="AY15">
        <v>89</v>
      </c>
      <c r="AZ15">
        <v>92</v>
      </c>
      <c r="BA15">
        <v>91</v>
      </c>
      <c r="BB15">
        <v>73</v>
      </c>
      <c r="BC15">
        <v>93</v>
      </c>
      <c r="BD15">
        <v>93</v>
      </c>
      <c r="BE15">
        <v>88</v>
      </c>
      <c r="BF15">
        <v>92</v>
      </c>
      <c r="BG15">
        <v>87</v>
      </c>
      <c r="BH15">
        <v>91</v>
      </c>
      <c r="BI15">
        <v>92</v>
      </c>
      <c r="BL15">
        <v>86</v>
      </c>
      <c r="BQ15">
        <v>88</v>
      </c>
      <c r="BS15">
        <v>0.05</v>
      </c>
      <c r="BT15">
        <v>0.63</v>
      </c>
      <c r="BU15">
        <v>0.15</v>
      </c>
      <c r="BV15">
        <v>0.11</v>
      </c>
      <c r="BW15">
        <v>0.63</v>
      </c>
      <c r="BX15">
        <v>0.21</v>
      </c>
      <c r="BY15">
        <v>0.47</v>
      </c>
      <c r="CB15">
        <v>67</v>
      </c>
      <c r="CC15">
        <v>88</v>
      </c>
      <c r="CF15" s="4">
        <v>0</v>
      </c>
      <c r="CH15" s="107">
        <v>77.125500000000002</v>
      </c>
      <c r="CI15" s="107">
        <v>3.4853000000000005</v>
      </c>
      <c r="CJ15" s="107">
        <v>4.851</v>
      </c>
      <c r="CK15" s="107">
        <v>0.65959999999999996</v>
      </c>
      <c r="CL15" s="107">
        <v>9.7324999999999982</v>
      </c>
      <c r="CM15" s="107">
        <v>7.9979999999999993</v>
      </c>
      <c r="CN15" s="107">
        <v>0.9675999999999999</v>
      </c>
      <c r="CO15" s="107">
        <v>1.9882</v>
      </c>
      <c r="CP15" s="107">
        <v>5.5964999999999998</v>
      </c>
      <c r="CQ15" s="107">
        <v>7.7776999999999994</v>
      </c>
      <c r="CR15" s="107">
        <v>3.7496000000000005</v>
      </c>
      <c r="CS15" s="107">
        <v>1.1926000000000001</v>
      </c>
      <c r="CT15" s="107">
        <v>7.2435999999999998</v>
      </c>
      <c r="CU15" s="107"/>
      <c r="CV15" s="107">
        <v>78.898499999999999</v>
      </c>
      <c r="CW15" s="107">
        <f t="shared" si="35"/>
        <v>3.5236000000000001</v>
      </c>
      <c r="CX15" s="107">
        <f t="shared" si="36"/>
        <v>4.9048999999999996</v>
      </c>
      <c r="CY15" s="107">
        <f t="shared" si="37"/>
        <v>0.70810000000000006</v>
      </c>
      <c r="CZ15" s="107">
        <f t="shared" si="38"/>
        <v>10.648499999999999</v>
      </c>
      <c r="DA15" s="107">
        <f t="shared" si="39"/>
        <v>7.9979999999999993</v>
      </c>
      <c r="DB15" s="107">
        <f t="shared" si="40"/>
        <v>1.0384</v>
      </c>
      <c r="DC15" s="107">
        <f t="shared" si="41"/>
        <v>2.1219999999999999</v>
      </c>
      <c r="DD15" s="107">
        <f t="shared" si="19"/>
        <v>5.6580000000000004</v>
      </c>
      <c r="DE15" s="107">
        <f t="shared" si="11"/>
        <v>7.998800000000001</v>
      </c>
      <c r="DF15" s="107">
        <f t="shared" si="20"/>
        <v>3.7932000000000006</v>
      </c>
      <c r="DG15" s="107">
        <f t="shared" si="21"/>
        <v>1.2194</v>
      </c>
      <c r="DH15" s="107">
        <f t="shared" si="22"/>
        <v>7.3232000000000008</v>
      </c>
      <c r="DI15" s="107"/>
      <c r="DJ15" s="107"/>
      <c r="DK15" s="107"/>
      <c r="DL15" s="107"/>
      <c r="DM15" s="107"/>
      <c r="DN15" s="107"/>
      <c r="DO15" s="107"/>
      <c r="DP15" s="107"/>
      <c r="DQ15">
        <f t="shared" si="26"/>
        <v>0.14069999999999999</v>
      </c>
      <c r="DR15">
        <f t="shared" si="27"/>
        <v>0.18479999999999999</v>
      </c>
      <c r="DS15">
        <f t="shared" si="42"/>
        <v>0</v>
      </c>
      <c r="DT15">
        <f t="shared" si="43"/>
        <v>0</v>
      </c>
      <c r="DU15"/>
      <c r="DV15" s="32"/>
      <c r="DW15" s="54">
        <f t="shared" si="45"/>
        <v>1600</v>
      </c>
      <c r="DX15" s="33">
        <v>0.8</v>
      </c>
      <c r="DY15" s="95">
        <v>2070</v>
      </c>
      <c r="DZ15" s="95">
        <v>2070</v>
      </c>
      <c r="EA15" s="35">
        <v>0.92</v>
      </c>
      <c r="EB15" s="36">
        <f t="shared" si="29"/>
        <v>0.19320000000000001</v>
      </c>
      <c r="EC15" s="37">
        <v>0.17</v>
      </c>
      <c r="ED15" s="80">
        <v>0</v>
      </c>
      <c r="EE15" s="81">
        <v>0</v>
      </c>
      <c r="EF15" s="81"/>
      <c r="EG15" s="390"/>
      <c r="EH15" s="126">
        <f>44*K15/10</f>
        <v>6.38</v>
      </c>
      <c r="EI15" s="38">
        <f>IF(AR15="","",AR15*BL15)</f>
        <v>108.36</v>
      </c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48">
        <f t="shared" si="30"/>
        <v>0.68772127529699034</v>
      </c>
      <c r="FN15" s="48">
        <f t="shared" si="31"/>
        <v>6.6497628774005738E-2</v>
      </c>
      <c r="FO15" s="142">
        <f t="shared" si="32"/>
        <v>10.342042084451348</v>
      </c>
      <c r="FP15" s="142">
        <f t="shared" si="33"/>
        <v>0.11451378128374891</v>
      </c>
      <c r="FQ15" s="180">
        <f t="shared" si="34"/>
        <v>0.12011844331641283</v>
      </c>
    </row>
    <row r="16" spans="1:173" s="113" customFormat="1" x14ac:dyDescent="0.15">
      <c r="A16" s="194">
        <v>7</v>
      </c>
      <c r="B16" s="113" t="s">
        <v>220</v>
      </c>
      <c r="C16" s="113">
        <v>4733</v>
      </c>
      <c r="D16" s="113">
        <v>4546</v>
      </c>
      <c r="E16" s="113">
        <v>4017</v>
      </c>
      <c r="F16" s="113">
        <v>2506</v>
      </c>
      <c r="H16" s="113">
        <v>91.97</v>
      </c>
      <c r="I16" s="113">
        <v>77.84</v>
      </c>
      <c r="K16" s="113">
        <v>2</v>
      </c>
      <c r="L16" s="113">
        <v>2.7</v>
      </c>
      <c r="M16" s="113">
        <v>8.68</v>
      </c>
      <c r="T16" s="113">
        <v>0</v>
      </c>
      <c r="V16" s="113">
        <v>0</v>
      </c>
      <c r="AB16" s="113">
        <v>0</v>
      </c>
      <c r="AC16" s="113">
        <v>0</v>
      </c>
      <c r="AD16" s="195">
        <v>42.775200000000005</v>
      </c>
      <c r="AF16" s="113">
        <v>4.3899999999999997</v>
      </c>
      <c r="AG16" s="113">
        <v>2.5299999999999998</v>
      </c>
      <c r="AH16" s="113">
        <v>2.69</v>
      </c>
      <c r="AI16" s="113">
        <v>7.39</v>
      </c>
      <c r="AJ16" s="113">
        <v>6.9</v>
      </c>
      <c r="AK16" s="113">
        <v>0.79</v>
      </c>
      <c r="AL16" s="113">
        <v>4.25</v>
      </c>
      <c r="AM16" s="113">
        <v>4.47</v>
      </c>
      <c r="AN16" s="113">
        <v>1.41</v>
      </c>
      <c r="AO16" s="113">
        <v>5.12</v>
      </c>
      <c r="AR16" s="113">
        <v>2.6</v>
      </c>
      <c r="AW16" s="113">
        <v>3.89</v>
      </c>
      <c r="AY16" s="113">
        <v>81</v>
      </c>
      <c r="AZ16" s="113">
        <v>91</v>
      </c>
      <c r="BA16" s="113">
        <v>87</v>
      </c>
      <c r="BB16" s="113">
        <v>85</v>
      </c>
      <c r="BC16" s="113">
        <v>87</v>
      </c>
      <c r="BD16" s="113">
        <v>87</v>
      </c>
      <c r="BE16" s="113">
        <v>84</v>
      </c>
      <c r="BF16" s="113">
        <v>86</v>
      </c>
      <c r="BG16" s="113">
        <v>80</v>
      </c>
      <c r="BH16" s="113">
        <v>92</v>
      </c>
      <c r="BI16" s="113">
        <v>82</v>
      </c>
      <c r="BL16" s="113">
        <v>85</v>
      </c>
      <c r="BQ16" s="113">
        <v>76</v>
      </c>
      <c r="BS16" s="113">
        <v>0.13</v>
      </c>
      <c r="BT16" s="113">
        <v>1.19</v>
      </c>
      <c r="BU16" s="113">
        <v>0.02</v>
      </c>
      <c r="BV16" s="113">
        <v>0.03</v>
      </c>
      <c r="BW16" s="113">
        <v>2.76</v>
      </c>
      <c r="BX16" s="113">
        <v>1.28</v>
      </c>
      <c r="BY16" s="113">
        <v>1.02</v>
      </c>
      <c r="CB16" s="113">
        <v>92</v>
      </c>
      <c r="CC16" s="113">
        <v>98</v>
      </c>
      <c r="CF16" s="186">
        <v>0</v>
      </c>
      <c r="CH16" s="188">
        <v>59.1584</v>
      </c>
      <c r="CI16" s="188">
        <v>3.8632</v>
      </c>
      <c r="CJ16" s="188">
        <v>2.1504999999999996</v>
      </c>
      <c r="CK16" s="188">
        <v>2.1789000000000001</v>
      </c>
      <c r="CL16" s="188">
        <v>6.2076000000000002</v>
      </c>
      <c r="CM16" s="188">
        <v>5.8650000000000002</v>
      </c>
      <c r="CN16" s="188">
        <v>0.63200000000000001</v>
      </c>
      <c r="CO16" s="188">
        <v>2.7640000000000002</v>
      </c>
      <c r="CP16" s="188">
        <v>3.5274999999999999</v>
      </c>
      <c r="CQ16" s="188">
        <v>6.4061000000000003</v>
      </c>
      <c r="CR16" s="188">
        <v>3.4419</v>
      </c>
      <c r="CS16" s="188">
        <v>1.1984999999999999</v>
      </c>
      <c r="CT16" s="188">
        <v>4.0448000000000004</v>
      </c>
      <c r="CU16" s="188"/>
      <c r="CV16" s="188">
        <v>63.050399999999996</v>
      </c>
      <c r="CW16" s="188">
        <f t="shared" si="35"/>
        <v>3.9948999999999995</v>
      </c>
      <c r="CX16" s="188">
        <f t="shared" si="36"/>
        <v>2.2010999999999998</v>
      </c>
      <c r="CY16" s="188">
        <f t="shared" si="37"/>
        <v>2.2865000000000002</v>
      </c>
      <c r="CZ16" s="188">
        <f t="shared" si="38"/>
        <v>6.4292999999999996</v>
      </c>
      <c r="DA16" s="188">
        <f t="shared" si="39"/>
        <v>6.003000000000001</v>
      </c>
      <c r="DB16" s="188">
        <f t="shared" si="40"/>
        <v>0.66359999999999997</v>
      </c>
      <c r="DC16" s="188">
        <f t="shared" si="41"/>
        <v>2.8736000000000002</v>
      </c>
      <c r="DD16" s="188">
        <f t="shared" si="19"/>
        <v>3.6549999999999998</v>
      </c>
      <c r="DE16" s="188">
        <f t="shared" si="11"/>
        <v>6.6113999999999997</v>
      </c>
      <c r="DF16" s="188">
        <f t="shared" si="20"/>
        <v>3.5759999999999996</v>
      </c>
      <c r="DG16" s="188">
        <f t="shared" si="21"/>
        <v>1.2971999999999999</v>
      </c>
      <c r="DH16" s="188">
        <f t="shared" si="22"/>
        <v>4.1984000000000004</v>
      </c>
      <c r="DI16" s="188"/>
      <c r="DJ16" s="188"/>
      <c r="DK16" s="188"/>
      <c r="DL16" s="188"/>
      <c r="DM16" s="188"/>
      <c r="DN16" s="188"/>
      <c r="DO16" s="188"/>
      <c r="DP16" s="188"/>
      <c r="DQ16" s="113">
        <f t="shared" si="26"/>
        <v>1.1776</v>
      </c>
      <c r="DR16" s="113">
        <f t="shared" si="27"/>
        <v>1.2544</v>
      </c>
      <c r="DS16" s="113">
        <f t="shared" si="42"/>
        <v>0</v>
      </c>
      <c r="DT16" s="113">
        <f t="shared" si="43"/>
        <v>0</v>
      </c>
      <c r="DV16" s="189"/>
      <c r="DW16" s="54">
        <f t="shared" si="45"/>
        <v>4000</v>
      </c>
      <c r="DX16" s="33">
        <v>2</v>
      </c>
      <c r="DY16" s="196">
        <v>2027.337080405933</v>
      </c>
      <c r="DZ16" s="196">
        <v>2027.337080405933</v>
      </c>
      <c r="EA16" s="190">
        <v>0.92</v>
      </c>
      <c r="EB16" s="36">
        <f t="shared" si="29"/>
        <v>1.1776</v>
      </c>
      <c r="EC16" s="187"/>
      <c r="ED16" s="184">
        <v>0</v>
      </c>
      <c r="EE16" s="197">
        <v>0</v>
      </c>
      <c r="EF16" s="197"/>
      <c r="EG16" s="391"/>
      <c r="EH16" s="198">
        <f>44*K16/10</f>
        <v>8.8000000000000007</v>
      </c>
      <c r="EI16" s="185">
        <f>IF(AR16="","",AR16*BL16)</f>
        <v>221</v>
      </c>
      <c r="EJ16" s="187"/>
      <c r="EK16" s="187"/>
      <c r="EL16" s="187"/>
      <c r="EM16" s="187"/>
      <c r="EN16" s="187"/>
      <c r="EO16" s="187"/>
      <c r="EP16" s="187"/>
      <c r="EQ16" s="187"/>
      <c r="ER16" s="187"/>
      <c r="ES16" s="187"/>
      <c r="ET16" s="187"/>
      <c r="EU16" s="187"/>
      <c r="EV16" s="187"/>
      <c r="EW16" s="187"/>
      <c r="EX16" s="187"/>
      <c r="EY16" s="187"/>
      <c r="EZ16" s="187"/>
      <c r="FA16" s="187"/>
      <c r="FB16" s="187"/>
      <c r="FC16" s="187"/>
      <c r="FD16" s="187"/>
      <c r="FE16" s="187"/>
      <c r="FF16" s="187"/>
      <c r="FG16" s="187"/>
      <c r="FH16" s="187"/>
      <c r="FI16" s="187"/>
      <c r="FJ16" s="187"/>
      <c r="FK16" s="187"/>
      <c r="FL16" s="187"/>
      <c r="FM16" s="191">
        <f t="shared" si="30"/>
        <v>0.65301043659496383</v>
      </c>
      <c r="FN16" s="191">
        <f t="shared" si="31"/>
        <v>0.35563747219759545</v>
      </c>
      <c r="FO16" s="192">
        <f t="shared" si="32"/>
        <v>1.8361688169691668</v>
      </c>
      <c r="FP16" s="192">
        <f t="shared" si="33"/>
        <v>0.20176380010265504</v>
      </c>
      <c r="FQ16" s="193">
        <f t="shared" si="34"/>
        <v>8.2596351490236378E-2</v>
      </c>
    </row>
    <row r="17" spans="1:173" x14ac:dyDescent="0.15">
      <c r="A17" s="134">
        <v>8</v>
      </c>
      <c r="B17" t="s">
        <v>221</v>
      </c>
      <c r="C17">
        <v>4805</v>
      </c>
      <c r="D17">
        <v>2100</v>
      </c>
      <c r="E17">
        <v>1920</v>
      </c>
      <c r="F17">
        <v>1155</v>
      </c>
      <c r="H17">
        <v>92</v>
      </c>
      <c r="I17">
        <v>26.5</v>
      </c>
      <c r="K17">
        <v>4.72</v>
      </c>
      <c r="L17">
        <v>7.3</v>
      </c>
      <c r="M17">
        <v>4.4000000000000004</v>
      </c>
      <c r="T17">
        <v>5.3</v>
      </c>
      <c r="U17">
        <v>48.7</v>
      </c>
      <c r="V17">
        <v>20.14</v>
      </c>
      <c r="AB17">
        <v>51.080000000000005</v>
      </c>
      <c r="AC17">
        <v>34</v>
      </c>
      <c r="AD17" s="136">
        <v>42.950200000000009</v>
      </c>
      <c r="AF17">
        <v>1.53</v>
      </c>
      <c r="AG17">
        <v>0.53</v>
      </c>
      <c r="AH17">
        <v>1.02</v>
      </c>
      <c r="AI17">
        <v>2.08</v>
      </c>
      <c r="AJ17">
        <v>1.08</v>
      </c>
      <c r="AK17">
        <v>0.45</v>
      </c>
      <c r="AL17">
        <v>1.22</v>
      </c>
      <c r="AM17">
        <v>0.95</v>
      </c>
      <c r="AN17">
        <v>0.26</v>
      </c>
      <c r="AO17">
        <v>1.26</v>
      </c>
      <c r="AR17">
        <v>0.49</v>
      </c>
      <c r="AW17">
        <v>0.88</v>
      </c>
      <c r="AY17">
        <v>85</v>
      </c>
      <c r="AZ17">
        <v>93</v>
      </c>
      <c r="BA17">
        <v>83</v>
      </c>
      <c r="BB17">
        <v>87</v>
      </c>
      <c r="BC17">
        <v>86</v>
      </c>
      <c r="BD17">
        <v>80</v>
      </c>
      <c r="BE17">
        <v>87</v>
      </c>
      <c r="BF17">
        <v>90</v>
      </c>
      <c r="BG17">
        <v>80</v>
      </c>
      <c r="BH17">
        <v>81</v>
      </c>
      <c r="BI17">
        <v>84</v>
      </c>
      <c r="BL17">
        <v>76</v>
      </c>
      <c r="BQ17">
        <v>93</v>
      </c>
      <c r="BS17">
        <v>0.21</v>
      </c>
      <c r="BT17">
        <v>0.15</v>
      </c>
      <c r="BU17">
        <v>0.08</v>
      </c>
      <c r="BV17">
        <v>0.16</v>
      </c>
      <c r="BW17">
        <v>0.26</v>
      </c>
      <c r="BX17">
        <v>0.57999999999999996</v>
      </c>
      <c r="BY17">
        <v>0.31</v>
      </c>
      <c r="CA17">
        <v>0.35</v>
      </c>
      <c r="CB17">
        <v>32</v>
      </c>
      <c r="CC17">
        <v>39</v>
      </c>
      <c r="CF17" s="4">
        <v>17.367200000000004</v>
      </c>
      <c r="CH17" s="107">
        <v>18.55</v>
      </c>
      <c r="CI17" s="107">
        <v>1.2393000000000001</v>
      </c>
      <c r="CJ17" s="107">
        <v>0.371</v>
      </c>
      <c r="CK17" s="107">
        <v>0.82620000000000005</v>
      </c>
      <c r="CL17" s="107">
        <v>1.5184</v>
      </c>
      <c r="CM17" s="107">
        <v>0.74520000000000008</v>
      </c>
      <c r="CN17" s="107">
        <v>0.33300000000000002</v>
      </c>
      <c r="CO17" s="107">
        <v>0.6613</v>
      </c>
      <c r="CP17" s="107">
        <v>0.98819999999999997</v>
      </c>
      <c r="CQ17" s="107">
        <v>1.7889999999999999</v>
      </c>
      <c r="CR17" s="107">
        <v>0.66500000000000004</v>
      </c>
      <c r="CS17" s="107">
        <v>0.1898</v>
      </c>
      <c r="CT17" s="107">
        <v>0.91980000000000006</v>
      </c>
      <c r="CU17" s="107"/>
      <c r="CV17" s="107">
        <v>22.524999999999999</v>
      </c>
      <c r="CW17" s="107">
        <f t="shared" si="35"/>
        <v>1.4228999999999998</v>
      </c>
      <c r="CX17" s="107">
        <f t="shared" si="36"/>
        <v>0.43990000000000001</v>
      </c>
      <c r="CY17" s="107">
        <f t="shared" si="37"/>
        <v>0.88739999999999997</v>
      </c>
      <c r="CZ17" s="107">
        <f t="shared" si="38"/>
        <v>1.7887999999999999</v>
      </c>
      <c r="DA17" s="107">
        <f t="shared" si="39"/>
        <v>0.8640000000000001</v>
      </c>
      <c r="DB17" s="107">
        <f t="shared" si="40"/>
        <v>0.39149999999999996</v>
      </c>
      <c r="DC17" s="107">
        <f t="shared" si="41"/>
        <v>0.76390000000000002</v>
      </c>
      <c r="DD17" s="107">
        <f t="shared" si="19"/>
        <v>1.0979999999999999</v>
      </c>
      <c r="DE17" s="107">
        <f t="shared" si="11"/>
        <v>1.9163999999999999</v>
      </c>
      <c r="DF17" s="107">
        <f t="shared" si="20"/>
        <v>0.76</v>
      </c>
      <c r="DG17" s="107">
        <f t="shared" si="21"/>
        <v>0.21060000000000001</v>
      </c>
      <c r="DH17" s="107">
        <f t="shared" si="22"/>
        <v>1.0584</v>
      </c>
      <c r="DI17" s="107"/>
      <c r="DJ17" s="107"/>
      <c r="DK17" s="107"/>
      <c r="DL17" s="107"/>
      <c r="DM17" s="107"/>
      <c r="DN17" s="107"/>
      <c r="DO17" s="107"/>
      <c r="DP17" s="107"/>
      <c r="DQ17">
        <f t="shared" si="26"/>
        <v>0.18559999999999999</v>
      </c>
      <c r="DR17">
        <f t="shared" si="27"/>
        <v>0.22619999999999998</v>
      </c>
      <c r="DS17">
        <f t="shared" si="42"/>
        <v>0</v>
      </c>
      <c r="DT17">
        <f t="shared" si="43"/>
        <v>0</v>
      </c>
      <c r="DU17"/>
      <c r="DV17" s="32"/>
      <c r="DW17" s="54">
        <f t="shared" si="45"/>
        <v>0</v>
      </c>
      <c r="DX17" s="33"/>
      <c r="DY17" s="34"/>
      <c r="DZ17" s="34"/>
      <c r="EA17" s="45"/>
      <c r="EB17" s="36">
        <f t="shared" si="29"/>
        <v>0</v>
      </c>
      <c r="EC17" s="69"/>
      <c r="ED17" s="80"/>
      <c r="EE17" s="81"/>
      <c r="EF17" s="81"/>
      <c r="EG17" s="390">
        <v>0.35</v>
      </c>
      <c r="EH17" s="70"/>
      <c r="EI17" s="38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84"/>
      <c r="FH17" s="84"/>
      <c r="FI17" s="37"/>
      <c r="FJ17" s="37"/>
      <c r="FK17" s="37"/>
      <c r="FL17" s="37"/>
      <c r="FM17" s="48">
        <f t="shared" si="30"/>
        <v>0.59168157423971379</v>
      </c>
      <c r="FN17" s="48">
        <f t="shared" si="31"/>
        <v>0.49608676207513419</v>
      </c>
      <c r="FO17" s="142">
        <f t="shared" si="32"/>
        <v>1.1926977687626776</v>
      </c>
      <c r="FP17" s="142">
        <f t="shared" si="33"/>
        <v>0.1177325581395349</v>
      </c>
      <c r="FQ17" s="180">
        <f t="shared" si="34"/>
        <v>6.7501886792452823E-2</v>
      </c>
    </row>
    <row r="18" spans="1:173" x14ac:dyDescent="0.15">
      <c r="A18" s="134">
        <v>9</v>
      </c>
      <c r="B18" t="s">
        <v>222</v>
      </c>
      <c r="C18">
        <v>6371</v>
      </c>
      <c r="D18">
        <v>5234</v>
      </c>
      <c r="E18">
        <v>5084</v>
      </c>
      <c r="F18">
        <v>4059</v>
      </c>
      <c r="H18">
        <v>94.57</v>
      </c>
      <c r="I18">
        <v>22.06</v>
      </c>
      <c r="J18">
        <v>6.1</v>
      </c>
      <c r="K18">
        <v>43.61</v>
      </c>
      <c r="M18">
        <v>3.71</v>
      </c>
      <c r="T18">
        <v>0.7</v>
      </c>
      <c r="U18">
        <v>16.71</v>
      </c>
      <c r="V18">
        <v>12.57</v>
      </c>
      <c r="W18">
        <v>5.4</v>
      </c>
      <c r="AB18">
        <v>24.489999999999991</v>
      </c>
      <c r="AC18">
        <v>58</v>
      </c>
      <c r="AD18" s="136">
        <v>56.163899999999998</v>
      </c>
      <c r="AF18">
        <v>1</v>
      </c>
      <c r="AG18">
        <v>0.6</v>
      </c>
      <c r="AH18">
        <v>0.6</v>
      </c>
      <c r="AI18">
        <v>1.1399999999999999</v>
      </c>
      <c r="AJ18">
        <v>1.01</v>
      </c>
      <c r="AK18">
        <v>0.38</v>
      </c>
      <c r="AL18">
        <v>0.73</v>
      </c>
      <c r="AM18">
        <v>0.83</v>
      </c>
      <c r="AN18">
        <v>0.23</v>
      </c>
      <c r="AO18">
        <v>0.83</v>
      </c>
      <c r="AR18">
        <v>0.46</v>
      </c>
      <c r="AW18">
        <v>0.55000000000000004</v>
      </c>
      <c r="AY18">
        <v>64</v>
      </c>
      <c r="AZ18">
        <v>84</v>
      </c>
      <c r="BA18">
        <v>80</v>
      </c>
      <c r="BB18">
        <v>74</v>
      </c>
      <c r="BC18">
        <v>76</v>
      </c>
      <c r="BD18">
        <v>73</v>
      </c>
      <c r="BE18">
        <v>81</v>
      </c>
      <c r="BF18">
        <v>77</v>
      </c>
      <c r="BG18">
        <v>70</v>
      </c>
      <c r="BH18">
        <v>71</v>
      </c>
      <c r="BI18">
        <v>71</v>
      </c>
      <c r="BL18">
        <v>70</v>
      </c>
      <c r="BQ18">
        <v>75</v>
      </c>
      <c r="BS18">
        <v>0.36</v>
      </c>
      <c r="BU18">
        <v>1.02</v>
      </c>
      <c r="BV18">
        <v>0.19</v>
      </c>
      <c r="BX18">
        <v>0.7</v>
      </c>
      <c r="CA18">
        <v>0.79</v>
      </c>
      <c r="CB18">
        <v>28</v>
      </c>
      <c r="CC18">
        <v>32</v>
      </c>
      <c r="CD18">
        <v>42</v>
      </c>
      <c r="CE18" s="139">
        <v>50</v>
      </c>
      <c r="CF18" s="4">
        <v>14.204199999999993</v>
      </c>
      <c r="CH18" s="107">
        <v>14.559599999999998</v>
      </c>
      <c r="CI18" s="107">
        <v>0.81</v>
      </c>
      <c r="CJ18" s="107">
        <v>0.46199999999999997</v>
      </c>
      <c r="CK18" s="107">
        <v>0.43799999999999994</v>
      </c>
      <c r="CL18" s="107">
        <v>0.83219999999999994</v>
      </c>
      <c r="CM18" s="107">
        <v>0.70700000000000007</v>
      </c>
      <c r="CN18" s="107">
        <v>0.2964</v>
      </c>
      <c r="CO18" s="107">
        <v>0.60000000000000009</v>
      </c>
      <c r="CP18" s="107">
        <v>0.53290000000000004</v>
      </c>
      <c r="CQ18" s="107">
        <v>0.91790000000000005</v>
      </c>
      <c r="CR18" s="107">
        <v>0.53120000000000001</v>
      </c>
      <c r="CS18" s="107">
        <v>0.15180000000000002</v>
      </c>
      <c r="CT18" s="107">
        <v>0.54779999999999995</v>
      </c>
      <c r="CU18" s="107"/>
      <c r="CV18" s="107">
        <v>14.118399999999999</v>
      </c>
      <c r="CW18" s="107">
        <f t="shared" si="35"/>
        <v>0.84</v>
      </c>
      <c r="CX18" s="107">
        <f t="shared" si="36"/>
        <v>0.48</v>
      </c>
      <c r="CY18" s="107">
        <f t="shared" si="37"/>
        <v>0.44400000000000001</v>
      </c>
      <c r="CZ18" s="107">
        <f t="shared" si="38"/>
        <v>0.86639999999999984</v>
      </c>
      <c r="DA18" s="107">
        <f t="shared" si="39"/>
        <v>0.73730000000000007</v>
      </c>
      <c r="DB18" s="107">
        <f t="shared" si="40"/>
        <v>0.30780000000000002</v>
      </c>
      <c r="DC18" s="107">
        <f t="shared" si="41"/>
        <v>0.62980000000000003</v>
      </c>
      <c r="DD18" s="107">
        <f t="shared" si="19"/>
        <v>0.56210000000000004</v>
      </c>
      <c r="DE18" s="107">
        <f t="shared" si="11"/>
        <v>0.97460000000000002</v>
      </c>
      <c r="DF18" s="107">
        <f t="shared" si="20"/>
        <v>0.58099999999999996</v>
      </c>
      <c r="DG18" s="107">
        <f t="shared" si="21"/>
        <v>0.16330000000000003</v>
      </c>
      <c r="DH18" s="107">
        <f t="shared" si="22"/>
        <v>0.58930000000000005</v>
      </c>
      <c r="DI18" s="107"/>
      <c r="DJ18" s="107"/>
      <c r="DK18" s="107"/>
      <c r="DL18" s="107"/>
      <c r="DM18" s="107"/>
      <c r="DN18" s="107"/>
      <c r="DO18" s="107"/>
      <c r="DP18" s="107"/>
      <c r="DQ18">
        <f t="shared" si="26"/>
        <v>0.19599999999999998</v>
      </c>
      <c r="DR18">
        <f t="shared" si="27"/>
        <v>0.22399999999999998</v>
      </c>
      <c r="DS18">
        <f t="shared" si="42"/>
        <v>0.1512</v>
      </c>
      <c r="DT18">
        <f t="shared" si="43"/>
        <v>0.18</v>
      </c>
      <c r="DU18"/>
      <c r="DV18" s="32"/>
      <c r="DW18" s="54">
        <f t="shared" si="45"/>
        <v>0</v>
      </c>
      <c r="DX18" s="33"/>
      <c r="DY18" s="34"/>
      <c r="DZ18" s="34"/>
      <c r="EA18" s="45"/>
      <c r="EB18" s="36">
        <f t="shared" si="29"/>
        <v>0</v>
      </c>
      <c r="EC18" s="69"/>
      <c r="ED18" s="80"/>
      <c r="EE18" s="81"/>
      <c r="EF18" s="81"/>
      <c r="EG18" s="390">
        <v>0.79</v>
      </c>
      <c r="EH18" s="70"/>
      <c r="EI18" s="38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84"/>
      <c r="FH18" s="84"/>
      <c r="FI18" s="37"/>
      <c r="FJ18" s="37"/>
      <c r="FK18" s="37"/>
      <c r="FL18" s="37"/>
      <c r="FM18" s="48">
        <f t="shared" si="30"/>
        <v>0.6801708217913206</v>
      </c>
      <c r="FN18" s="48">
        <f t="shared" si="31"/>
        <v>0.51246537396121894</v>
      </c>
      <c r="FO18" s="142">
        <f t="shared" si="32"/>
        <v>1.3272522522522523</v>
      </c>
      <c r="FP18" s="142">
        <f t="shared" si="33"/>
        <v>0.18848107109879969</v>
      </c>
      <c r="FQ18" s="180">
        <f t="shared" si="34"/>
        <v>3.9274705349048047E-2</v>
      </c>
    </row>
    <row r="19" spans="1:173" x14ac:dyDescent="0.15">
      <c r="A19" s="134">
        <v>10</v>
      </c>
      <c r="B19" t="s">
        <v>223</v>
      </c>
      <c r="C19">
        <v>4873</v>
      </c>
      <c r="D19">
        <v>3779</v>
      </c>
      <c r="E19">
        <v>3540</v>
      </c>
      <c r="F19">
        <v>2351</v>
      </c>
      <c r="H19">
        <v>93.11</v>
      </c>
      <c r="I19">
        <v>35.19</v>
      </c>
      <c r="J19">
        <v>9.77</v>
      </c>
      <c r="K19">
        <v>9.9700000000000006</v>
      </c>
      <c r="M19">
        <v>6.39</v>
      </c>
      <c r="T19">
        <v>3.8</v>
      </c>
      <c r="U19">
        <v>23.77</v>
      </c>
      <c r="V19">
        <v>17.57</v>
      </c>
      <c r="W19">
        <v>7.31</v>
      </c>
      <c r="X19">
        <v>25.81</v>
      </c>
      <c r="AB19">
        <v>37.760000000000005</v>
      </c>
      <c r="AC19">
        <v>58</v>
      </c>
      <c r="AD19" s="136">
        <v>44.891900000000007</v>
      </c>
      <c r="AF19">
        <v>1.76</v>
      </c>
      <c r="AG19">
        <v>0.82</v>
      </c>
      <c r="AH19">
        <v>1.67</v>
      </c>
      <c r="AI19">
        <v>1.95</v>
      </c>
      <c r="AJ19">
        <v>1.58</v>
      </c>
      <c r="AK19">
        <v>0.61</v>
      </c>
      <c r="AL19">
        <v>1.48</v>
      </c>
      <c r="AM19">
        <v>1.22</v>
      </c>
      <c r="AN19">
        <v>0.32</v>
      </c>
      <c r="AO19">
        <v>1.63</v>
      </c>
      <c r="AR19">
        <v>0.79</v>
      </c>
      <c r="AW19">
        <v>0.78</v>
      </c>
      <c r="AY19">
        <v>75</v>
      </c>
      <c r="AZ19">
        <v>83</v>
      </c>
      <c r="BA19">
        <v>78</v>
      </c>
      <c r="BB19">
        <v>78</v>
      </c>
      <c r="BC19">
        <v>78</v>
      </c>
      <c r="BD19">
        <v>71</v>
      </c>
      <c r="BE19">
        <v>83</v>
      </c>
      <c r="BF19">
        <v>80</v>
      </c>
      <c r="BG19">
        <v>70</v>
      </c>
      <c r="BH19">
        <v>73</v>
      </c>
      <c r="BI19">
        <v>73</v>
      </c>
      <c r="BL19">
        <v>76</v>
      </c>
      <c r="BQ19">
        <v>74</v>
      </c>
      <c r="BS19">
        <v>0.69</v>
      </c>
      <c r="BV19">
        <v>0.52</v>
      </c>
      <c r="BX19">
        <v>1.1499999999999999</v>
      </c>
      <c r="CA19">
        <v>0.87</v>
      </c>
      <c r="CB19">
        <v>28</v>
      </c>
      <c r="CC19">
        <v>32</v>
      </c>
      <c r="CD19">
        <v>42</v>
      </c>
      <c r="CE19" s="139">
        <v>50</v>
      </c>
      <c r="CF19" s="4">
        <v>21.900800000000004</v>
      </c>
      <c r="CH19" s="107">
        <v>24.632999999999996</v>
      </c>
      <c r="CI19" s="107">
        <v>1.4080000000000001</v>
      </c>
      <c r="CJ19" s="107">
        <v>0.62319999999999998</v>
      </c>
      <c r="CK19" s="107">
        <v>1.2691999999999999</v>
      </c>
      <c r="CL19" s="107">
        <v>1.5015000000000001</v>
      </c>
      <c r="CM19" s="107">
        <v>1.1060000000000001</v>
      </c>
      <c r="CN19" s="107">
        <v>0.50019999999999998</v>
      </c>
      <c r="CO19" s="107">
        <v>1.0848</v>
      </c>
      <c r="CP19" s="107">
        <v>1.1692</v>
      </c>
      <c r="CQ19" s="107">
        <v>1.7307999999999999</v>
      </c>
      <c r="CR19" s="107">
        <v>0.8173999999999999</v>
      </c>
      <c r="CS19" s="107">
        <v>0.23039999999999999</v>
      </c>
      <c r="CT19" s="107">
        <v>1.1573</v>
      </c>
      <c r="CU19" s="107"/>
      <c r="CV19" s="107">
        <v>26.392499999999998</v>
      </c>
      <c r="CW19" s="107">
        <f t="shared" si="35"/>
        <v>1.4608000000000001</v>
      </c>
      <c r="CX19" s="107">
        <f t="shared" si="36"/>
        <v>0.63959999999999995</v>
      </c>
      <c r="CY19" s="107">
        <f t="shared" si="37"/>
        <v>1.3026</v>
      </c>
      <c r="CZ19" s="107">
        <f t="shared" si="38"/>
        <v>1.5209999999999999</v>
      </c>
      <c r="DA19" s="107">
        <f t="shared" si="39"/>
        <v>1.1218000000000001</v>
      </c>
      <c r="DB19" s="107">
        <f t="shared" si="40"/>
        <v>0.50629999999999997</v>
      </c>
      <c r="DC19" s="107">
        <f t="shared" si="41"/>
        <v>1.1067</v>
      </c>
      <c r="DD19" s="107">
        <f t="shared" si="19"/>
        <v>1.1840000000000002</v>
      </c>
      <c r="DE19" s="107">
        <f t="shared" si="11"/>
        <v>1.7612000000000001</v>
      </c>
      <c r="DF19" s="107">
        <f t="shared" si="20"/>
        <v>0.85399999999999987</v>
      </c>
      <c r="DG19" s="107">
        <f t="shared" si="21"/>
        <v>0.2336</v>
      </c>
      <c r="DH19" s="107">
        <f t="shared" si="22"/>
        <v>1.1899</v>
      </c>
      <c r="DI19" s="107"/>
      <c r="DJ19" s="107"/>
      <c r="DK19" s="107"/>
      <c r="DL19" s="107"/>
      <c r="DM19" s="107"/>
      <c r="DN19" s="107"/>
      <c r="DO19" s="107"/>
      <c r="DP19" s="107"/>
      <c r="DQ19">
        <f t="shared" si="26"/>
        <v>0.32199999999999995</v>
      </c>
      <c r="DR19">
        <f t="shared" si="27"/>
        <v>0.36799999999999999</v>
      </c>
      <c r="DS19">
        <f t="shared" si="42"/>
        <v>0.28979999999999995</v>
      </c>
      <c r="DT19">
        <f t="shared" si="43"/>
        <v>0.34499999999999997</v>
      </c>
      <c r="DU19"/>
      <c r="DV19" s="32"/>
      <c r="DW19" s="54">
        <f t="shared" si="45"/>
        <v>160</v>
      </c>
      <c r="DX19" s="33">
        <v>0.08</v>
      </c>
      <c r="DY19" s="34">
        <v>1505</v>
      </c>
      <c r="DZ19" s="34">
        <v>1625</v>
      </c>
      <c r="EA19" s="35">
        <v>0.21</v>
      </c>
      <c r="EB19" s="36">
        <f t="shared" si="29"/>
        <v>0.24149999999999996</v>
      </c>
      <c r="EC19" s="37">
        <v>0.42</v>
      </c>
      <c r="ED19" s="80">
        <v>0</v>
      </c>
      <c r="EE19" s="81">
        <v>0</v>
      </c>
      <c r="EF19" s="81"/>
      <c r="EG19" s="390">
        <v>0.89</v>
      </c>
      <c r="EH19" s="126">
        <f>125*K19/10</f>
        <v>124.625</v>
      </c>
      <c r="EI19" s="38">
        <f>IF(AR19="","",AR19*BL19)</f>
        <v>60.040000000000006</v>
      </c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48">
        <f t="shared" si="30"/>
        <v>0.78231426692965156</v>
      </c>
      <c r="FN19" s="48">
        <f t="shared" si="31"/>
        <v>0.85641025641025648</v>
      </c>
      <c r="FO19" s="142">
        <f t="shared" si="32"/>
        <v>0.91348073084600034</v>
      </c>
      <c r="FP19" s="142">
        <f t="shared" si="33"/>
        <v>0.15358316896778437</v>
      </c>
      <c r="FQ19" s="180">
        <f t="shared" si="34"/>
        <v>4.3222506393861895E-2</v>
      </c>
    </row>
    <row r="20" spans="1:173" x14ac:dyDescent="0.15">
      <c r="A20" s="134">
        <v>11</v>
      </c>
      <c r="B20" t="s">
        <v>224</v>
      </c>
      <c r="C20">
        <v>4332</v>
      </c>
      <c r="D20">
        <v>3273</v>
      </c>
      <c r="E20">
        <v>3013</v>
      </c>
      <c r="F20">
        <v>1890</v>
      </c>
      <c r="H20">
        <v>91.33</v>
      </c>
      <c r="I20">
        <v>37.5</v>
      </c>
      <c r="J20">
        <v>10.5</v>
      </c>
      <c r="K20">
        <v>3.22</v>
      </c>
      <c r="M20">
        <v>6.89</v>
      </c>
      <c r="S20">
        <v>26.77</v>
      </c>
      <c r="T20">
        <v>6.07</v>
      </c>
      <c r="U20">
        <v>22.64</v>
      </c>
      <c r="V20">
        <v>15.42</v>
      </c>
      <c r="W20">
        <v>3.36</v>
      </c>
      <c r="X20">
        <v>26.6</v>
      </c>
      <c r="AB20">
        <v>37.65</v>
      </c>
      <c r="AC20">
        <v>58</v>
      </c>
      <c r="AD20" s="136">
        <v>41.935499999999998</v>
      </c>
      <c r="AF20">
        <v>2.2799999999999998</v>
      </c>
      <c r="AG20">
        <v>1.07</v>
      </c>
      <c r="AH20">
        <v>1.42</v>
      </c>
      <c r="AI20">
        <v>2.4500000000000002</v>
      </c>
      <c r="AJ20">
        <v>2.0699999999999998</v>
      </c>
      <c r="AK20">
        <v>0.71</v>
      </c>
      <c r="AL20">
        <v>1.48</v>
      </c>
      <c r="AM20">
        <v>1.55</v>
      </c>
      <c r="AN20">
        <v>0.43</v>
      </c>
      <c r="AO20">
        <v>1.78</v>
      </c>
      <c r="AR20">
        <v>0.86</v>
      </c>
      <c r="AW20">
        <v>1.06</v>
      </c>
      <c r="AY20">
        <v>74</v>
      </c>
      <c r="AZ20">
        <v>85</v>
      </c>
      <c r="BA20">
        <v>78</v>
      </c>
      <c r="BB20">
        <v>76</v>
      </c>
      <c r="BC20">
        <v>78</v>
      </c>
      <c r="BD20">
        <v>74</v>
      </c>
      <c r="BE20">
        <v>85</v>
      </c>
      <c r="BF20">
        <v>77</v>
      </c>
      <c r="BG20">
        <v>70</v>
      </c>
      <c r="BH20">
        <v>71</v>
      </c>
      <c r="BI20">
        <v>74</v>
      </c>
      <c r="BL20">
        <v>74</v>
      </c>
      <c r="BQ20">
        <v>77</v>
      </c>
      <c r="BS20">
        <v>0.69</v>
      </c>
      <c r="BT20">
        <v>0.11</v>
      </c>
      <c r="BU20">
        <v>1.69</v>
      </c>
      <c r="BV20">
        <v>0.28000000000000003</v>
      </c>
      <c r="BW20">
        <v>7.0000000000000007E-2</v>
      </c>
      <c r="BX20">
        <v>1.08</v>
      </c>
      <c r="BY20">
        <v>0.85</v>
      </c>
      <c r="CA20">
        <v>0.65</v>
      </c>
      <c r="CB20">
        <v>28</v>
      </c>
      <c r="CC20">
        <v>32</v>
      </c>
      <c r="CD20">
        <v>42</v>
      </c>
      <c r="CE20" s="139">
        <v>50</v>
      </c>
      <c r="CF20" s="4">
        <v>21.837</v>
      </c>
      <c r="CH20" s="107">
        <v>25.5</v>
      </c>
      <c r="CI20" s="107">
        <v>1.8695999999999997</v>
      </c>
      <c r="CJ20" s="107">
        <v>0.80249999999999999</v>
      </c>
      <c r="CK20" s="107">
        <v>1.0224</v>
      </c>
      <c r="CL20" s="107">
        <v>1.8130000000000002</v>
      </c>
      <c r="CM20" s="107">
        <v>1.4697</v>
      </c>
      <c r="CN20" s="107">
        <v>0.58219999999999994</v>
      </c>
      <c r="CO20" s="107">
        <v>1.1841999999999999</v>
      </c>
      <c r="CP20" s="107">
        <v>1.0952</v>
      </c>
      <c r="CQ20" s="107">
        <v>1.8584000000000001</v>
      </c>
      <c r="CR20" s="107">
        <v>1.0075000000000001</v>
      </c>
      <c r="CS20" s="107">
        <v>0.2838</v>
      </c>
      <c r="CT20" s="107">
        <v>1.2282000000000002</v>
      </c>
      <c r="CU20" s="107"/>
      <c r="CV20" s="107">
        <v>27.75</v>
      </c>
      <c r="CW20" s="107">
        <f t="shared" si="35"/>
        <v>1.9379999999999997</v>
      </c>
      <c r="CX20" s="107">
        <f t="shared" si="36"/>
        <v>0.83460000000000012</v>
      </c>
      <c r="CY20" s="107">
        <f t="shared" si="37"/>
        <v>1.0791999999999999</v>
      </c>
      <c r="CZ20" s="107">
        <f t="shared" si="38"/>
        <v>1.9110000000000003</v>
      </c>
      <c r="DA20" s="107">
        <f t="shared" si="39"/>
        <v>1.5317999999999998</v>
      </c>
      <c r="DB20" s="107">
        <f t="shared" si="40"/>
        <v>0.60349999999999993</v>
      </c>
      <c r="DC20" s="107">
        <f t="shared" si="41"/>
        <v>1.2399</v>
      </c>
      <c r="DD20" s="107">
        <f t="shared" si="19"/>
        <v>1.1395999999999999</v>
      </c>
      <c r="DE20" s="107">
        <f t="shared" si="11"/>
        <v>1.9558</v>
      </c>
      <c r="DF20" s="107">
        <f t="shared" si="20"/>
        <v>1.085</v>
      </c>
      <c r="DG20" s="107">
        <f t="shared" si="21"/>
        <v>0.30530000000000002</v>
      </c>
      <c r="DH20" s="107">
        <f t="shared" si="22"/>
        <v>1.3171999999999999</v>
      </c>
      <c r="DI20" s="107"/>
      <c r="DJ20" s="107"/>
      <c r="DK20" s="107"/>
      <c r="DL20" s="107"/>
      <c r="DM20" s="107"/>
      <c r="DN20" s="107"/>
      <c r="DO20" s="107"/>
      <c r="DP20" s="107"/>
      <c r="DQ20">
        <f t="shared" si="26"/>
        <v>0.3024</v>
      </c>
      <c r="DR20">
        <f t="shared" si="27"/>
        <v>0.34560000000000002</v>
      </c>
      <c r="DS20">
        <f t="shared" si="42"/>
        <v>0.28979999999999995</v>
      </c>
      <c r="DT20">
        <f t="shared" si="43"/>
        <v>0.34499999999999997</v>
      </c>
      <c r="DU20"/>
      <c r="DV20" s="32"/>
      <c r="DW20" s="54">
        <f t="shared" si="45"/>
        <v>0</v>
      </c>
      <c r="DX20" s="33"/>
      <c r="DY20" s="34"/>
      <c r="DZ20" s="34"/>
      <c r="EA20" s="45"/>
      <c r="EB20" s="36">
        <f t="shared" si="29"/>
        <v>0</v>
      </c>
      <c r="EC20" s="37"/>
      <c r="ED20" s="80"/>
      <c r="EE20" s="81"/>
      <c r="EF20" s="81"/>
      <c r="EG20" s="390">
        <v>0.87</v>
      </c>
      <c r="EH20" s="70"/>
      <c r="EI20" s="38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48">
        <f t="shared" si="30"/>
        <v>0.68927263212977485</v>
      </c>
      <c r="FN20" s="48">
        <f t="shared" si="31"/>
        <v>0.56473050758765031</v>
      </c>
      <c r="FO20" s="142">
        <f t="shared" si="32"/>
        <v>1.220533728687917</v>
      </c>
      <c r="FP20" s="142">
        <f t="shared" si="33"/>
        <v>0.1597592883307169</v>
      </c>
      <c r="FQ20" s="180">
        <f t="shared" si="34"/>
        <v>5.0960000000000005E-2</v>
      </c>
    </row>
    <row r="21" spans="1:173" x14ac:dyDescent="0.15">
      <c r="A21" s="134">
        <v>12</v>
      </c>
      <c r="B21" t="s">
        <v>225</v>
      </c>
      <c r="C21">
        <v>3451</v>
      </c>
      <c r="D21">
        <v>3407</v>
      </c>
      <c r="E21">
        <v>3387</v>
      </c>
      <c r="F21">
        <v>2647</v>
      </c>
      <c r="H21">
        <v>88.09</v>
      </c>
      <c r="I21">
        <v>2.88</v>
      </c>
      <c r="J21">
        <v>4.18</v>
      </c>
      <c r="K21">
        <v>0.94</v>
      </c>
      <c r="M21">
        <v>5.7</v>
      </c>
      <c r="N21">
        <v>0</v>
      </c>
      <c r="O21">
        <v>0</v>
      </c>
      <c r="P21">
        <v>0</v>
      </c>
      <c r="Q21">
        <v>0</v>
      </c>
      <c r="R21">
        <v>0</v>
      </c>
      <c r="T21">
        <v>67.849999999999994</v>
      </c>
      <c r="U21">
        <v>6.55</v>
      </c>
      <c r="V21">
        <v>5.99</v>
      </c>
      <c r="AB21">
        <v>10.720000000000013</v>
      </c>
      <c r="AC21">
        <v>36</v>
      </c>
      <c r="AD21" s="136">
        <v>36.918800000000005</v>
      </c>
      <c r="AF21">
        <v>0.18</v>
      </c>
      <c r="AG21">
        <v>0.08</v>
      </c>
      <c r="AH21">
        <v>0.11</v>
      </c>
      <c r="AI21">
        <v>0.19</v>
      </c>
      <c r="AJ21">
        <v>0.12</v>
      </c>
      <c r="AK21">
        <v>0.04</v>
      </c>
      <c r="AL21">
        <v>0.15</v>
      </c>
      <c r="AM21">
        <v>0.11</v>
      </c>
      <c r="AN21">
        <v>0.04</v>
      </c>
      <c r="AO21">
        <v>0.14000000000000001</v>
      </c>
      <c r="AR21">
        <v>0.05</v>
      </c>
      <c r="AW21">
        <v>0.04</v>
      </c>
      <c r="AY21" s="23">
        <v>77.916666666666671</v>
      </c>
      <c r="AZ21">
        <v>90</v>
      </c>
      <c r="BA21">
        <v>80</v>
      </c>
      <c r="BB21">
        <v>81</v>
      </c>
      <c r="BC21">
        <v>79</v>
      </c>
      <c r="BD21">
        <v>71</v>
      </c>
      <c r="BE21">
        <v>84</v>
      </c>
      <c r="BF21">
        <v>80</v>
      </c>
      <c r="BG21">
        <v>73</v>
      </c>
      <c r="BH21">
        <v>77</v>
      </c>
      <c r="BI21">
        <v>76</v>
      </c>
      <c r="BL21">
        <v>68</v>
      </c>
      <c r="BQ21">
        <v>76</v>
      </c>
      <c r="BS21">
        <v>0.28000000000000003</v>
      </c>
      <c r="BT21">
        <v>7.0000000000000007E-2</v>
      </c>
      <c r="BU21">
        <v>0.49</v>
      </c>
      <c r="BV21">
        <v>0.11</v>
      </c>
      <c r="BW21">
        <v>0.03</v>
      </c>
      <c r="BX21">
        <v>0.12</v>
      </c>
      <c r="BY21">
        <v>0.5</v>
      </c>
      <c r="CA21">
        <v>0.04</v>
      </c>
      <c r="CB21">
        <v>10</v>
      </c>
      <c r="CC21">
        <v>24</v>
      </c>
      <c r="CF21" s="4">
        <v>3.8592000000000048</v>
      </c>
      <c r="CH21" s="107">
        <v>0</v>
      </c>
      <c r="CI21" s="107">
        <v>0</v>
      </c>
      <c r="CJ21" s="107">
        <v>0</v>
      </c>
      <c r="CK21" s="107">
        <v>0</v>
      </c>
      <c r="CL21" s="107">
        <v>0</v>
      </c>
      <c r="CM21" s="107">
        <v>0</v>
      </c>
      <c r="CN21" s="107">
        <v>0</v>
      </c>
      <c r="CO21" s="107">
        <v>0</v>
      </c>
      <c r="CP21" s="107">
        <v>0</v>
      </c>
      <c r="CQ21" s="107">
        <v>0</v>
      </c>
      <c r="CR21" s="107">
        <v>0</v>
      </c>
      <c r="CS21" s="107">
        <v>0</v>
      </c>
      <c r="CT21" s="107">
        <v>0</v>
      </c>
      <c r="CU21" s="107"/>
      <c r="CV21" s="107">
        <v>2.2440000000000002</v>
      </c>
      <c r="CW21" s="107">
        <f t="shared" si="35"/>
        <v>0.16200000000000001</v>
      </c>
      <c r="CX21" s="107">
        <f t="shared" si="36"/>
        <v>6.4000000000000001E-2</v>
      </c>
      <c r="CY21" s="107">
        <f t="shared" si="37"/>
        <v>8.9099999999999999E-2</v>
      </c>
      <c r="CZ21" s="107">
        <f t="shared" si="38"/>
        <v>0.15010000000000001</v>
      </c>
      <c r="DA21" s="107">
        <f t="shared" si="39"/>
        <v>8.5199999999999998E-2</v>
      </c>
      <c r="DB21" s="107">
        <f t="shared" si="40"/>
        <v>3.3599999999999998E-2</v>
      </c>
      <c r="DC21" s="107">
        <f t="shared" si="41"/>
        <v>6.7599999999999993E-2</v>
      </c>
      <c r="DD21" s="107">
        <f t="shared" si="19"/>
        <v>0.12</v>
      </c>
      <c r="DE21" s="107">
        <f t="shared" si="11"/>
        <v>0.15040000000000001</v>
      </c>
      <c r="DF21" s="107">
        <f t="shared" si="20"/>
        <v>8.0299999999999996E-2</v>
      </c>
      <c r="DG21" s="107">
        <f t="shared" si="21"/>
        <v>3.0800000000000001E-2</v>
      </c>
      <c r="DH21" s="107">
        <f t="shared" si="22"/>
        <v>0.10640000000000001</v>
      </c>
      <c r="DI21" s="107"/>
      <c r="DJ21" s="107"/>
      <c r="DK21" s="107"/>
      <c r="DL21" s="107"/>
      <c r="DM21" s="107"/>
      <c r="DN21" s="107"/>
      <c r="DO21" s="107"/>
      <c r="DP21" s="107"/>
      <c r="DQ21">
        <f t="shared" si="26"/>
        <v>1.2E-2</v>
      </c>
      <c r="DR21">
        <f t="shared" si="27"/>
        <v>2.8799999999999999E-2</v>
      </c>
      <c r="DS21">
        <f t="shared" si="42"/>
        <v>0</v>
      </c>
      <c r="DT21">
        <f t="shared" si="43"/>
        <v>0</v>
      </c>
      <c r="DU21"/>
      <c r="DV21" s="32"/>
      <c r="DW21" s="54">
        <f t="shared" si="45"/>
        <v>0</v>
      </c>
      <c r="DX21" s="33"/>
      <c r="DY21" s="34"/>
      <c r="DZ21" s="34"/>
      <c r="EA21" s="45"/>
      <c r="EB21" s="36">
        <f t="shared" si="29"/>
        <v>0</v>
      </c>
      <c r="EC21" s="37"/>
      <c r="ED21" s="80"/>
      <c r="EE21" s="81"/>
      <c r="EF21" s="81"/>
      <c r="EG21" s="390">
        <v>0.04</v>
      </c>
      <c r="EH21" s="70"/>
      <c r="EI21" s="38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48">
        <f t="shared" si="30"/>
        <v>0.70886075949367089</v>
      </c>
      <c r="FN21" s="48">
        <f t="shared" si="31"/>
        <v>0.59360426382411724</v>
      </c>
      <c r="FO21" s="142">
        <f t="shared" si="32"/>
        <v>1.1941638608305276</v>
      </c>
      <c r="FP21" s="142">
        <f t="shared" si="33"/>
        <v>0.20519653564290471</v>
      </c>
      <c r="FQ21" s="180">
        <f t="shared" si="34"/>
        <v>5.2118055555555563E-2</v>
      </c>
    </row>
    <row r="22" spans="1:173" x14ac:dyDescent="0.15">
      <c r="A22" s="134">
        <v>13</v>
      </c>
      <c r="B22" t="s">
        <v>226</v>
      </c>
      <c r="C22">
        <v>3828</v>
      </c>
      <c r="D22">
        <v>2773</v>
      </c>
      <c r="E22">
        <v>2728</v>
      </c>
      <c r="F22">
        <v>1757</v>
      </c>
      <c r="H22">
        <v>90.9</v>
      </c>
      <c r="I22">
        <v>6.64</v>
      </c>
      <c r="K22">
        <v>2.4900000000000002</v>
      </c>
      <c r="M22">
        <v>7.73</v>
      </c>
      <c r="T22">
        <v>2.5299999999999998</v>
      </c>
      <c r="U22">
        <v>21.23</v>
      </c>
      <c r="V22">
        <v>20.2</v>
      </c>
      <c r="AB22">
        <v>71.510000000000005</v>
      </c>
      <c r="AC22">
        <v>78</v>
      </c>
      <c r="AD22" s="136">
        <v>38.704300000000003</v>
      </c>
      <c r="AF22">
        <v>0.26</v>
      </c>
      <c r="AG22">
        <v>0.12</v>
      </c>
      <c r="AH22">
        <v>0.18</v>
      </c>
      <c r="AI22">
        <v>0.32</v>
      </c>
      <c r="AJ22">
        <v>0.19</v>
      </c>
      <c r="AK22">
        <v>7.0000000000000007E-2</v>
      </c>
      <c r="AL22">
        <v>0.24</v>
      </c>
      <c r="AM22">
        <v>0.18</v>
      </c>
      <c r="AN22">
        <v>0.05</v>
      </c>
      <c r="AO22">
        <v>0.24</v>
      </c>
      <c r="AR22">
        <v>0.08</v>
      </c>
      <c r="AW22">
        <v>0.16</v>
      </c>
      <c r="AY22" s="23">
        <v>81.083333333333329</v>
      </c>
      <c r="AZ22">
        <v>89</v>
      </c>
      <c r="BA22">
        <v>84</v>
      </c>
      <c r="BB22">
        <v>81</v>
      </c>
      <c r="BC22">
        <v>83</v>
      </c>
      <c r="BD22">
        <v>77</v>
      </c>
      <c r="BE22">
        <v>85</v>
      </c>
      <c r="BF22">
        <v>84</v>
      </c>
      <c r="BG22">
        <v>76</v>
      </c>
      <c r="BH22">
        <v>77</v>
      </c>
      <c r="BI22">
        <v>78</v>
      </c>
      <c r="BL22">
        <v>73</v>
      </c>
      <c r="BQ22">
        <v>86</v>
      </c>
      <c r="BS22">
        <v>1.71</v>
      </c>
      <c r="BU22">
        <v>0.74</v>
      </c>
      <c r="BV22">
        <v>0.11</v>
      </c>
      <c r="BW22">
        <v>0.52</v>
      </c>
      <c r="BX22">
        <v>0.09</v>
      </c>
      <c r="BY22">
        <v>7.0000000000000007E-2</v>
      </c>
      <c r="CA22">
        <v>0.04</v>
      </c>
      <c r="CB22">
        <v>69</v>
      </c>
      <c r="CC22">
        <v>50</v>
      </c>
      <c r="CF22" s="4">
        <v>55.777800000000006</v>
      </c>
      <c r="CH22" s="107">
        <v>0</v>
      </c>
      <c r="CI22" s="107">
        <v>0</v>
      </c>
      <c r="CJ22" s="107">
        <v>0</v>
      </c>
      <c r="CK22" s="107">
        <v>0</v>
      </c>
      <c r="CL22" s="107">
        <v>0</v>
      </c>
      <c r="CM22" s="107">
        <v>0</v>
      </c>
      <c r="CN22" s="107">
        <v>0</v>
      </c>
      <c r="CO22" s="107">
        <v>0</v>
      </c>
      <c r="CP22" s="107">
        <v>0</v>
      </c>
      <c r="CQ22" s="107">
        <v>0</v>
      </c>
      <c r="CR22" s="107">
        <v>0</v>
      </c>
      <c r="CS22" s="107">
        <v>0</v>
      </c>
      <c r="CT22" s="107">
        <v>0</v>
      </c>
      <c r="CU22" s="107"/>
      <c r="CV22" s="107">
        <v>5.3839333333333332</v>
      </c>
      <c r="CW22" s="107">
        <f t="shared" si="35"/>
        <v>0.23139999999999999</v>
      </c>
      <c r="CX22" s="107">
        <f t="shared" si="36"/>
        <v>0.1008</v>
      </c>
      <c r="CY22" s="107">
        <f t="shared" si="37"/>
        <v>0.14580000000000001</v>
      </c>
      <c r="CZ22" s="107">
        <f t="shared" si="38"/>
        <v>0.2656</v>
      </c>
      <c r="DA22" s="107">
        <f t="shared" si="39"/>
        <v>0.14630000000000001</v>
      </c>
      <c r="DB22" s="107">
        <f t="shared" si="40"/>
        <v>5.9500000000000004E-2</v>
      </c>
      <c r="DC22" s="107">
        <f t="shared" si="41"/>
        <v>0.11789999999999999</v>
      </c>
      <c r="DD22" s="107">
        <f t="shared" si="19"/>
        <v>0.2016</v>
      </c>
      <c r="DE22" s="107">
        <f t="shared" si="11"/>
        <v>0.3392</v>
      </c>
      <c r="DF22" s="107">
        <f t="shared" si="20"/>
        <v>0.1368</v>
      </c>
      <c r="DG22" s="107">
        <f t="shared" si="21"/>
        <v>3.85E-2</v>
      </c>
      <c r="DH22" s="107">
        <f t="shared" si="22"/>
        <v>0.18719999999999998</v>
      </c>
      <c r="DI22" s="107"/>
      <c r="DJ22" s="107"/>
      <c r="DK22" s="107"/>
      <c r="DL22" s="107"/>
      <c r="DM22" s="107"/>
      <c r="DN22" s="107"/>
      <c r="DO22" s="107"/>
      <c r="DP22" s="107"/>
      <c r="DQ22">
        <f t="shared" si="26"/>
        <v>6.2100000000000002E-2</v>
      </c>
      <c r="DR22">
        <f t="shared" si="27"/>
        <v>4.4999999999999998E-2</v>
      </c>
      <c r="DS22">
        <f t="shared" si="42"/>
        <v>0</v>
      </c>
      <c r="DT22">
        <f t="shared" si="43"/>
        <v>0</v>
      </c>
      <c r="DU22"/>
      <c r="DV22" s="46"/>
      <c r="DW22" s="54">
        <f t="shared" si="45"/>
        <v>0</v>
      </c>
      <c r="DX22" s="33"/>
      <c r="DY22" s="40"/>
      <c r="DZ22" s="40"/>
      <c r="EA22" s="35"/>
      <c r="EB22" s="36">
        <f t="shared" si="29"/>
        <v>0</v>
      </c>
      <c r="EC22" s="68"/>
      <c r="ED22" s="80"/>
      <c r="EE22" s="81"/>
      <c r="EF22" s="81"/>
      <c r="EG22" s="390">
        <v>0.04</v>
      </c>
      <c r="EH22" s="70"/>
      <c r="EI22" s="38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48">
        <f t="shared" si="30"/>
        <v>0.70481927710843362</v>
      </c>
      <c r="FN22" s="48">
        <f t="shared" si="31"/>
        <v>0.54894578313253017</v>
      </c>
      <c r="FO22" s="142">
        <f t="shared" si="32"/>
        <v>1.2839506172839503</v>
      </c>
      <c r="FP22" s="142">
        <f t="shared" si="33"/>
        <v>0.14495481927710843</v>
      </c>
      <c r="FQ22" s="180">
        <f t="shared" si="34"/>
        <v>0.04</v>
      </c>
    </row>
    <row r="23" spans="1:173" x14ac:dyDescent="0.15">
      <c r="A23" s="134">
        <v>14</v>
      </c>
      <c r="B23" t="s">
        <v>227</v>
      </c>
      <c r="C23">
        <v>4199</v>
      </c>
      <c r="D23">
        <v>3010</v>
      </c>
      <c r="E23">
        <v>2861</v>
      </c>
      <c r="F23">
        <v>1747</v>
      </c>
      <c r="H23">
        <v>92</v>
      </c>
      <c r="I23">
        <v>21.9</v>
      </c>
      <c r="K23">
        <v>3</v>
      </c>
      <c r="M23">
        <v>6.2</v>
      </c>
      <c r="T23">
        <v>2.6</v>
      </c>
      <c r="U23">
        <v>51.3</v>
      </c>
      <c r="V23">
        <v>25.5</v>
      </c>
      <c r="AB23">
        <v>58.29999999999999</v>
      </c>
      <c r="AC23">
        <v>79</v>
      </c>
      <c r="AD23" s="136">
        <v>41.265999999999998</v>
      </c>
      <c r="AF23">
        <v>2.38</v>
      </c>
      <c r="AG23">
        <v>0.39</v>
      </c>
      <c r="AH23">
        <v>0.75</v>
      </c>
      <c r="AI23">
        <v>1.36</v>
      </c>
      <c r="AJ23">
        <v>0.57999999999999996</v>
      </c>
      <c r="AK23">
        <v>0.35</v>
      </c>
      <c r="AL23">
        <v>0.84</v>
      </c>
      <c r="AM23">
        <v>0.67</v>
      </c>
      <c r="AN23">
        <v>0.19</v>
      </c>
      <c r="AO23">
        <v>1.07</v>
      </c>
      <c r="AR23">
        <v>0.28999999999999998</v>
      </c>
      <c r="AW23">
        <v>0.57999999999999996</v>
      </c>
      <c r="AY23" s="23">
        <v>71.916666666666671</v>
      </c>
      <c r="AZ23">
        <v>88</v>
      </c>
      <c r="BA23">
        <v>70</v>
      </c>
      <c r="BB23">
        <v>72</v>
      </c>
      <c r="BC23">
        <v>73</v>
      </c>
      <c r="BD23">
        <v>64</v>
      </c>
      <c r="BE23">
        <v>77</v>
      </c>
      <c r="BF23">
        <v>75</v>
      </c>
      <c r="BG23">
        <v>67</v>
      </c>
      <c r="BH23">
        <v>69</v>
      </c>
      <c r="BI23">
        <v>71</v>
      </c>
      <c r="BL23">
        <v>65</v>
      </c>
      <c r="BQ23">
        <v>72</v>
      </c>
      <c r="BS23">
        <v>0.13</v>
      </c>
      <c r="BT23">
        <v>0.37</v>
      </c>
      <c r="BU23">
        <v>1.83</v>
      </c>
      <c r="BV23">
        <v>0.31</v>
      </c>
      <c r="BW23">
        <v>0.04</v>
      </c>
      <c r="BX23">
        <v>0.57999999999999996</v>
      </c>
      <c r="BY23">
        <v>0.31</v>
      </c>
      <c r="CA23">
        <v>0.26</v>
      </c>
      <c r="CB23">
        <v>34</v>
      </c>
      <c r="CC23">
        <v>44</v>
      </c>
      <c r="CD23" s="139">
        <v>50</v>
      </c>
      <c r="CE23" s="139">
        <f>CD23+10</f>
        <v>60</v>
      </c>
      <c r="CF23" s="4">
        <v>46.056999999999988</v>
      </c>
      <c r="CH23" s="107">
        <v>11.388</v>
      </c>
      <c r="CI23" s="107">
        <v>1.9278</v>
      </c>
      <c r="CJ23" s="107">
        <v>0.2457</v>
      </c>
      <c r="CK23" s="107">
        <v>0.48</v>
      </c>
      <c r="CL23" s="107">
        <v>0.92480000000000007</v>
      </c>
      <c r="CM23" s="107">
        <v>0.29580000000000001</v>
      </c>
      <c r="CN23" s="107">
        <v>0.23449999999999999</v>
      </c>
      <c r="CO23" s="107">
        <v>0.3911</v>
      </c>
      <c r="CP23" s="107">
        <v>0.59640000000000004</v>
      </c>
      <c r="CQ23" s="107">
        <v>0.90380000000000005</v>
      </c>
      <c r="CR23" s="107">
        <v>0.3417</v>
      </c>
      <c r="CS23" s="107">
        <v>0.1197</v>
      </c>
      <c r="CT23" s="107">
        <v>0.72760000000000002</v>
      </c>
      <c r="CU23" s="107"/>
      <c r="CV23" s="107">
        <v>15.749749999999999</v>
      </c>
      <c r="CW23" s="107">
        <f t="shared" si="35"/>
        <v>2.0943999999999998</v>
      </c>
      <c r="CX23" s="107">
        <f t="shared" si="36"/>
        <v>0.27300000000000002</v>
      </c>
      <c r="CY23" s="107">
        <f t="shared" si="37"/>
        <v>0.54</v>
      </c>
      <c r="CZ23" s="107">
        <f t="shared" si="38"/>
        <v>0.99280000000000002</v>
      </c>
      <c r="DA23" s="107">
        <f t="shared" si="39"/>
        <v>0.37119999999999997</v>
      </c>
      <c r="DB23" s="107">
        <f t="shared" si="40"/>
        <v>0.26950000000000002</v>
      </c>
      <c r="DC23" s="107">
        <f t="shared" si="41"/>
        <v>0.45799999999999996</v>
      </c>
      <c r="DD23" s="107">
        <f t="shared" si="19"/>
        <v>0.63</v>
      </c>
      <c r="DE23" s="107">
        <f t="shared" si="11"/>
        <v>1.0476000000000001</v>
      </c>
      <c r="DF23" s="107">
        <f t="shared" si="20"/>
        <v>0.44890000000000002</v>
      </c>
      <c r="DG23" s="107">
        <f t="shared" si="21"/>
        <v>0.13109999999999999</v>
      </c>
      <c r="DH23" s="107">
        <f t="shared" si="22"/>
        <v>0.75970000000000004</v>
      </c>
      <c r="DI23" s="107"/>
      <c r="DJ23" s="107"/>
      <c r="DK23" s="107"/>
      <c r="DL23" s="107"/>
      <c r="DM23" s="107"/>
      <c r="DN23" s="107"/>
      <c r="DO23" s="107"/>
      <c r="DP23" s="107"/>
      <c r="DQ23">
        <f t="shared" si="26"/>
        <v>0.19719999999999999</v>
      </c>
      <c r="DR23">
        <f t="shared" si="27"/>
        <v>0.25519999999999998</v>
      </c>
      <c r="DS23">
        <f t="shared" si="42"/>
        <v>6.5000000000000002E-2</v>
      </c>
      <c r="DT23">
        <f t="shared" si="43"/>
        <v>7.8000000000000014E-2</v>
      </c>
      <c r="DU23"/>
      <c r="DV23" s="46"/>
      <c r="DW23" s="54">
        <f t="shared" si="45"/>
        <v>0</v>
      </c>
      <c r="DX23" s="33"/>
      <c r="DY23" s="40"/>
      <c r="DZ23" s="40"/>
      <c r="EA23" s="35"/>
      <c r="EB23" s="36">
        <f t="shared" si="29"/>
        <v>0</v>
      </c>
      <c r="EC23" s="68"/>
      <c r="ED23" s="80"/>
      <c r="EE23" s="81"/>
      <c r="EF23" s="81"/>
      <c r="EG23" s="390">
        <v>0.22</v>
      </c>
      <c r="EH23" s="70"/>
      <c r="EI23" s="38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48">
        <f t="shared" si="30"/>
        <v>0.76520950846091862</v>
      </c>
      <c r="FN23" s="48">
        <f t="shared" si="31"/>
        <v>0.54391619661563262</v>
      </c>
      <c r="FO23" s="142">
        <f t="shared" si="32"/>
        <v>1.4068518518518518</v>
      </c>
      <c r="FP23" s="142">
        <f t="shared" si="33"/>
        <v>0.13205076551168413</v>
      </c>
      <c r="FQ23" s="180">
        <f t="shared" si="34"/>
        <v>4.5333333333333337E-2</v>
      </c>
    </row>
    <row r="24" spans="1:173" x14ac:dyDescent="0.15">
      <c r="A24" s="134">
        <v>15</v>
      </c>
      <c r="B24" t="s">
        <v>228</v>
      </c>
      <c r="C24">
        <v>3933</v>
      </c>
      <c r="D24">
        <v>3451</v>
      </c>
      <c r="E24">
        <v>3395</v>
      </c>
      <c r="F24">
        <v>2672</v>
      </c>
      <c r="H24">
        <v>88.31</v>
      </c>
      <c r="I24">
        <v>8.24</v>
      </c>
      <c r="J24">
        <v>1.98</v>
      </c>
      <c r="K24">
        <v>3.48</v>
      </c>
      <c r="L24">
        <v>3.68</v>
      </c>
      <c r="M24">
        <v>1.3</v>
      </c>
      <c r="N24">
        <v>0</v>
      </c>
      <c r="O24">
        <v>0.09</v>
      </c>
      <c r="P24">
        <v>0.01</v>
      </c>
      <c r="Q24">
        <v>0.01</v>
      </c>
      <c r="R24">
        <v>0.01</v>
      </c>
      <c r="T24">
        <v>62.55</v>
      </c>
      <c r="U24">
        <v>9.11</v>
      </c>
      <c r="V24">
        <v>2.88</v>
      </c>
      <c r="W24">
        <v>0.32</v>
      </c>
      <c r="X24">
        <v>13.73</v>
      </c>
      <c r="AB24">
        <v>12.650000000000006</v>
      </c>
      <c r="AC24">
        <v>55</v>
      </c>
      <c r="AD24" s="136">
        <v>40.263400000000004</v>
      </c>
      <c r="AF24">
        <v>0.37</v>
      </c>
      <c r="AG24">
        <v>0.24</v>
      </c>
      <c r="AH24">
        <v>0.28000000000000003</v>
      </c>
      <c r="AI24">
        <v>0.96</v>
      </c>
      <c r="AJ24">
        <v>0.25</v>
      </c>
      <c r="AK24">
        <v>0.18</v>
      </c>
      <c r="AL24">
        <v>0.39</v>
      </c>
      <c r="AM24">
        <v>0.28000000000000003</v>
      </c>
      <c r="AN24">
        <v>0.06</v>
      </c>
      <c r="AO24">
        <v>0.38</v>
      </c>
      <c r="AP24">
        <v>0.6</v>
      </c>
      <c r="AQ24">
        <v>0.54</v>
      </c>
      <c r="AR24">
        <v>0.19</v>
      </c>
      <c r="AS24">
        <v>1.48</v>
      </c>
      <c r="AT24">
        <v>0.31</v>
      </c>
      <c r="AU24">
        <v>0.71</v>
      </c>
      <c r="AV24">
        <v>0.38</v>
      </c>
      <c r="AW24">
        <v>0.26</v>
      </c>
      <c r="AY24">
        <v>80</v>
      </c>
      <c r="AZ24">
        <v>87</v>
      </c>
      <c r="BA24">
        <v>83</v>
      </c>
      <c r="BB24">
        <v>82</v>
      </c>
      <c r="BC24">
        <v>87</v>
      </c>
      <c r="BD24">
        <v>74</v>
      </c>
      <c r="BE24">
        <v>83</v>
      </c>
      <c r="BF24">
        <v>85</v>
      </c>
      <c r="BG24">
        <v>77</v>
      </c>
      <c r="BH24">
        <v>80</v>
      </c>
      <c r="BI24">
        <v>82</v>
      </c>
      <c r="BJ24">
        <v>81</v>
      </c>
      <c r="BK24">
        <v>79</v>
      </c>
      <c r="BL24">
        <v>80</v>
      </c>
      <c r="BM24">
        <v>84</v>
      </c>
      <c r="BN24">
        <v>84</v>
      </c>
      <c r="BO24">
        <v>93</v>
      </c>
      <c r="BP24">
        <v>82</v>
      </c>
      <c r="BQ24">
        <v>79</v>
      </c>
      <c r="BS24">
        <v>0.02</v>
      </c>
      <c r="BT24">
        <v>0.05</v>
      </c>
      <c r="BU24">
        <v>0.32</v>
      </c>
      <c r="BV24">
        <v>0.12</v>
      </c>
      <c r="BW24">
        <v>0.02</v>
      </c>
      <c r="BX24">
        <v>0.26</v>
      </c>
      <c r="CA24">
        <v>0.21</v>
      </c>
      <c r="CB24">
        <v>26</v>
      </c>
      <c r="CC24">
        <v>34</v>
      </c>
      <c r="CD24" s="139">
        <v>50</v>
      </c>
      <c r="CE24" s="139">
        <f t="shared" ref="CE24:CE36" si="46">CD24+10</f>
        <v>60</v>
      </c>
      <c r="CF24" s="4">
        <v>6.9575000000000031</v>
      </c>
      <c r="CH24" s="107">
        <v>5.3559999999999999</v>
      </c>
      <c r="CI24" s="107">
        <v>0.27750000000000002</v>
      </c>
      <c r="CJ24" s="107">
        <v>0.18479999999999999</v>
      </c>
      <c r="CK24" s="107">
        <v>0.20440000000000003</v>
      </c>
      <c r="CL24" s="107">
        <v>0.78720000000000001</v>
      </c>
      <c r="CM24" s="107">
        <v>0.15</v>
      </c>
      <c r="CN24" s="107">
        <v>0.1386</v>
      </c>
      <c r="CO24" s="107">
        <v>0.28110000000000002</v>
      </c>
      <c r="CP24" s="107">
        <v>0.30420000000000003</v>
      </c>
      <c r="CQ24" s="107">
        <v>0.49660000000000004</v>
      </c>
      <c r="CR24" s="107">
        <v>0.17080000000000001</v>
      </c>
      <c r="CS24" s="107">
        <v>3.7199999999999997E-2</v>
      </c>
      <c r="CT24" s="107">
        <v>0.26979999999999998</v>
      </c>
      <c r="CU24" s="107"/>
      <c r="CV24" s="107">
        <v>6.5920000000000005</v>
      </c>
      <c r="CW24" s="107">
        <f t="shared" si="35"/>
        <v>0.32189999999999996</v>
      </c>
      <c r="CX24" s="107">
        <f t="shared" si="36"/>
        <v>0.19919999999999999</v>
      </c>
      <c r="CY24" s="107">
        <f t="shared" si="37"/>
        <v>0.2296</v>
      </c>
      <c r="CZ24" s="107">
        <f t="shared" si="38"/>
        <v>0.83519999999999994</v>
      </c>
      <c r="DA24" s="107">
        <f t="shared" si="39"/>
        <v>0.185</v>
      </c>
      <c r="DB24" s="107">
        <f t="shared" si="40"/>
        <v>0.14940000000000001</v>
      </c>
      <c r="DC24" s="107">
        <f t="shared" si="41"/>
        <v>0.3014</v>
      </c>
      <c r="DD24" s="107">
        <f t="shared" si="19"/>
        <v>0.33149999999999996</v>
      </c>
      <c r="DE24" s="107">
        <f t="shared" si="11"/>
        <v>0.53689999999999993</v>
      </c>
      <c r="DF24" s="107">
        <f t="shared" si="20"/>
        <v>0.21560000000000001</v>
      </c>
      <c r="DG24" s="107">
        <f t="shared" si="21"/>
        <v>4.8000000000000001E-2</v>
      </c>
      <c r="DH24" s="107">
        <f t="shared" si="22"/>
        <v>0.31159999999999999</v>
      </c>
      <c r="DI24" s="107">
        <f t="shared" ref="DI24" si="47">AP24*BJ24/100</f>
        <v>0.48599999999999999</v>
      </c>
      <c r="DJ24" s="107">
        <f t="shared" ref="DJ24" si="48">AQ24*BK24/100</f>
        <v>0.42660000000000003</v>
      </c>
      <c r="DK24" s="107">
        <f t="shared" ref="DK24" si="49">AR24*BL24/100</f>
        <v>0.152</v>
      </c>
      <c r="DL24" s="107">
        <f t="shared" ref="DL24" si="50">AS24*BM24/100</f>
        <v>1.2431999999999999</v>
      </c>
      <c r="DM24" s="107">
        <f t="shared" ref="DM24" si="51">AT24*BN24/100</f>
        <v>0.26039999999999996</v>
      </c>
      <c r="DN24" s="107">
        <f t="shared" ref="DN24" si="52">AU24*BO24/100</f>
        <v>0.6603</v>
      </c>
      <c r="DO24" s="107">
        <f t="shared" ref="DO24" si="53">AV24*BP24/100</f>
        <v>0.31159999999999999</v>
      </c>
      <c r="DP24" s="107">
        <f t="shared" ref="DP24" si="54">AW24*BQ24/100</f>
        <v>0.2054</v>
      </c>
      <c r="DQ24">
        <f t="shared" si="26"/>
        <v>6.7599999999999993E-2</v>
      </c>
      <c r="DR24">
        <f t="shared" si="27"/>
        <v>8.8399999999999992E-2</v>
      </c>
      <c r="DS24">
        <f t="shared" si="42"/>
        <v>0.01</v>
      </c>
      <c r="DT24">
        <f t="shared" si="43"/>
        <v>1.2E-2</v>
      </c>
      <c r="DU24"/>
      <c r="DV24" s="20"/>
      <c r="DW24" s="54">
        <f t="shared" si="45"/>
        <v>250</v>
      </c>
      <c r="DX24" s="49">
        <f>'Lys Calculator-kg'!D3/56</f>
        <v>0.125</v>
      </c>
      <c r="DY24" s="50">
        <v>2650</v>
      </c>
      <c r="DZ24" s="50">
        <v>2730</v>
      </c>
      <c r="EA24" s="148">
        <v>0.14000000000000001</v>
      </c>
      <c r="EB24" s="36">
        <f t="shared" si="29"/>
        <v>3.6400000000000002E-2</v>
      </c>
      <c r="EC24" s="51">
        <v>1.92</v>
      </c>
      <c r="ED24" s="80">
        <v>0</v>
      </c>
      <c r="EE24" s="81">
        <v>0</v>
      </c>
      <c r="EF24" s="81"/>
      <c r="EG24" s="390">
        <v>0.19</v>
      </c>
      <c r="EH24" s="70">
        <f>125*K24/10</f>
        <v>43.5</v>
      </c>
      <c r="EI24" s="52">
        <f>IF(AR24="","",AR24*BL24)</f>
        <v>15.2</v>
      </c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37">
        <v>51.69</v>
      </c>
      <c r="FJ24" s="37">
        <v>1.6</v>
      </c>
      <c r="FK24" s="47">
        <f>SUM(FI24:FJ24)/100*K24</f>
        <v>1.854492</v>
      </c>
      <c r="FL24" s="37"/>
      <c r="FM24" s="48">
        <f t="shared" si="30"/>
        <v>0.37308429118773945</v>
      </c>
      <c r="FN24" s="48">
        <f t="shared" si="31"/>
        <v>0.27490421455938702</v>
      </c>
      <c r="FO24" s="142">
        <f t="shared" si="32"/>
        <v>1.3571428571428572</v>
      </c>
      <c r="FP24" s="142">
        <f t="shared" si="33"/>
        <v>5.7471264367816098E-2</v>
      </c>
      <c r="FQ24" s="180">
        <f t="shared" si="34"/>
        <v>0.10135922330097086</v>
      </c>
    </row>
    <row r="25" spans="1:173" x14ac:dyDescent="0.15">
      <c r="A25" s="134">
        <v>16</v>
      </c>
      <c r="B25" t="s">
        <v>229</v>
      </c>
      <c r="C25">
        <v>3987</v>
      </c>
      <c r="D25">
        <v>3455</v>
      </c>
      <c r="E25">
        <v>3394</v>
      </c>
      <c r="F25">
        <v>2718</v>
      </c>
      <c r="H25">
        <v>87.93</v>
      </c>
      <c r="I25">
        <v>9.02</v>
      </c>
      <c r="J25">
        <v>2.2200000000000002</v>
      </c>
      <c r="K25">
        <v>4.8499999999999996</v>
      </c>
      <c r="L25">
        <v>5.01</v>
      </c>
      <c r="M25">
        <v>1.44</v>
      </c>
      <c r="T25">
        <v>67.44</v>
      </c>
      <c r="U25">
        <v>6.98</v>
      </c>
      <c r="V25">
        <v>2.33</v>
      </c>
      <c r="X25">
        <v>9.6</v>
      </c>
      <c r="AB25">
        <v>5.180000000000021</v>
      </c>
      <c r="AC25">
        <v>55</v>
      </c>
      <c r="AD25" s="136">
        <v>40.47120000000001</v>
      </c>
      <c r="AF25">
        <v>0.44</v>
      </c>
      <c r="AG25">
        <v>0.26</v>
      </c>
      <c r="AH25">
        <v>0.32</v>
      </c>
      <c r="AI25">
        <v>1.0900000000000001</v>
      </c>
      <c r="AJ25">
        <v>0.27</v>
      </c>
      <c r="AK25">
        <v>0.2</v>
      </c>
      <c r="AL25">
        <v>0.43</v>
      </c>
      <c r="AM25">
        <v>0.31</v>
      </c>
      <c r="AN25">
        <v>7.0000000000000007E-2</v>
      </c>
      <c r="AO25">
        <v>0.44</v>
      </c>
      <c r="AR25">
        <v>0.22</v>
      </c>
      <c r="AW25">
        <v>0.28000000000000003</v>
      </c>
      <c r="AY25">
        <v>83</v>
      </c>
      <c r="AZ25">
        <v>83</v>
      </c>
      <c r="BA25">
        <v>82</v>
      </c>
      <c r="BB25">
        <v>85</v>
      </c>
      <c r="BC25">
        <v>87</v>
      </c>
      <c r="BD25">
        <v>79</v>
      </c>
      <c r="BE25">
        <v>83</v>
      </c>
      <c r="BF25">
        <v>86</v>
      </c>
      <c r="BG25">
        <v>78</v>
      </c>
      <c r="BH25">
        <v>76</v>
      </c>
      <c r="BI25">
        <v>81</v>
      </c>
      <c r="BL25">
        <v>82</v>
      </c>
      <c r="BQ25">
        <v>80</v>
      </c>
      <c r="BS25">
        <v>0.04</v>
      </c>
      <c r="BU25">
        <v>0.3</v>
      </c>
      <c r="BV25">
        <v>0.11</v>
      </c>
      <c r="BX25">
        <v>0.27</v>
      </c>
      <c r="CA25">
        <v>0.16</v>
      </c>
      <c r="CB25">
        <v>26</v>
      </c>
      <c r="CC25">
        <v>34</v>
      </c>
      <c r="CD25" s="139">
        <v>50</v>
      </c>
      <c r="CE25" s="139">
        <f t="shared" si="46"/>
        <v>60</v>
      </c>
      <c r="CF25" s="4">
        <v>2.8490000000000117</v>
      </c>
      <c r="CH25" s="107">
        <v>6.6748000000000003</v>
      </c>
      <c r="CI25" s="107">
        <v>0.33</v>
      </c>
      <c r="CJ25" s="107">
        <v>0.20019999999999999</v>
      </c>
      <c r="CK25" s="107">
        <v>0.2432</v>
      </c>
      <c r="CL25" s="107">
        <v>0.90470000000000017</v>
      </c>
      <c r="CM25" s="107">
        <v>0.17550000000000002</v>
      </c>
      <c r="CN25" s="107">
        <v>0.158</v>
      </c>
      <c r="CO25" s="107">
        <v>0.3296</v>
      </c>
      <c r="CP25" s="107">
        <v>0.34399999999999997</v>
      </c>
      <c r="CQ25" s="107">
        <v>0.54</v>
      </c>
      <c r="CR25" s="107">
        <v>0.19219999999999998</v>
      </c>
      <c r="CS25" s="107">
        <v>4.5500000000000006E-2</v>
      </c>
      <c r="CT25" s="107">
        <v>0.31679999999999997</v>
      </c>
      <c r="CU25" s="107"/>
      <c r="CV25" s="107">
        <v>7.4865999999999993</v>
      </c>
      <c r="CW25" s="107">
        <f t="shared" si="35"/>
        <v>0.36520000000000002</v>
      </c>
      <c r="CX25" s="107">
        <f t="shared" si="36"/>
        <v>0.2132</v>
      </c>
      <c r="CY25" s="107">
        <f t="shared" si="37"/>
        <v>0.27200000000000002</v>
      </c>
      <c r="CZ25" s="107">
        <f t="shared" si="38"/>
        <v>0.94830000000000014</v>
      </c>
      <c r="DA25" s="107">
        <f t="shared" si="39"/>
        <v>0.21330000000000002</v>
      </c>
      <c r="DB25" s="107">
        <f t="shared" si="40"/>
        <v>0.16600000000000001</v>
      </c>
      <c r="DC25" s="107">
        <f t="shared" si="41"/>
        <v>0.34639999999999999</v>
      </c>
      <c r="DD25" s="107">
        <f t="shared" si="19"/>
        <v>0.36979999999999996</v>
      </c>
      <c r="DE25" s="107">
        <f t="shared" si="11"/>
        <v>0.59379999999999999</v>
      </c>
      <c r="DF25" s="107">
        <f t="shared" si="20"/>
        <v>0.24179999999999999</v>
      </c>
      <c r="DG25" s="107">
        <f t="shared" si="21"/>
        <v>5.3200000000000004E-2</v>
      </c>
      <c r="DH25" s="107">
        <f t="shared" si="22"/>
        <v>0.35639999999999999</v>
      </c>
      <c r="DI25" s="107"/>
      <c r="DJ25" s="107"/>
      <c r="DK25" s="107"/>
      <c r="DL25" s="107"/>
      <c r="DM25" s="107"/>
      <c r="DN25" s="107"/>
      <c r="DO25" s="107"/>
      <c r="DP25" s="107"/>
      <c r="DQ25">
        <f t="shared" si="26"/>
        <v>7.0199999999999999E-2</v>
      </c>
      <c r="DR25">
        <f t="shared" si="27"/>
        <v>9.1799999999999993E-2</v>
      </c>
      <c r="DS25">
        <f t="shared" si="42"/>
        <v>0.02</v>
      </c>
      <c r="DT25">
        <f t="shared" si="43"/>
        <v>2.4E-2</v>
      </c>
      <c r="DU25"/>
      <c r="DV25" s="32"/>
      <c r="DW25" s="54">
        <f t="shared" si="45"/>
        <v>96</v>
      </c>
      <c r="DX25" s="33">
        <v>4.8000000000000001E-2</v>
      </c>
      <c r="DY25" s="34"/>
      <c r="DZ25" s="34"/>
      <c r="EA25" s="35">
        <v>0.14000000000000001</v>
      </c>
      <c r="EB25" s="36">
        <f t="shared" si="29"/>
        <v>3.7800000000000007E-2</v>
      </c>
      <c r="EC25" s="125">
        <f>0.59*K25</f>
        <v>2.8614999999999995</v>
      </c>
      <c r="ED25" s="80">
        <v>0</v>
      </c>
      <c r="EE25" s="81">
        <v>0</v>
      </c>
      <c r="EF25" s="81"/>
      <c r="EG25" s="390">
        <v>0.16</v>
      </c>
      <c r="EH25" s="126">
        <f>125*K25/10</f>
        <v>60.625</v>
      </c>
      <c r="EI25" s="38">
        <f>IF(AR25="","",AR25*BL25)</f>
        <v>18.04</v>
      </c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48">
        <f t="shared" si="30"/>
        <v>0.37583043340714956</v>
      </c>
      <c r="FN25" s="48">
        <f t="shared" si="31"/>
        <v>0.2868290625329537</v>
      </c>
      <c r="FO25" s="142">
        <f t="shared" si="32"/>
        <v>1.3102941176470586</v>
      </c>
      <c r="FP25" s="142">
        <f t="shared" si="33"/>
        <v>5.6100390171886533E-2</v>
      </c>
      <c r="FQ25" s="180">
        <f t="shared" si="34"/>
        <v>0.10513303769401332</v>
      </c>
    </row>
    <row r="26" spans="1:173" x14ac:dyDescent="0.15">
      <c r="A26" s="134">
        <v>17</v>
      </c>
      <c r="B26" t="s">
        <v>230</v>
      </c>
      <c r="C26">
        <v>4652</v>
      </c>
      <c r="D26">
        <v>2649</v>
      </c>
      <c r="E26">
        <v>2584</v>
      </c>
      <c r="F26">
        <v>1977</v>
      </c>
      <c r="H26">
        <v>88.5</v>
      </c>
      <c r="I26">
        <v>9.5299999999999994</v>
      </c>
      <c r="J26">
        <v>6.61</v>
      </c>
      <c r="K26">
        <v>8.52</v>
      </c>
      <c r="M26">
        <v>2.5299999999999998</v>
      </c>
      <c r="N26">
        <v>0</v>
      </c>
      <c r="O26">
        <v>0</v>
      </c>
      <c r="P26">
        <v>0</v>
      </c>
      <c r="Q26">
        <v>0</v>
      </c>
      <c r="R26">
        <v>0</v>
      </c>
      <c r="T26">
        <v>31.73</v>
      </c>
      <c r="U26">
        <v>32.96</v>
      </c>
      <c r="V26">
        <v>9.23</v>
      </c>
      <c r="AB26">
        <v>36.19</v>
      </c>
      <c r="AC26">
        <v>43</v>
      </c>
      <c r="AD26" s="136">
        <v>41.772799999999997</v>
      </c>
      <c r="AF26">
        <v>0.56000000000000005</v>
      </c>
      <c r="AG26">
        <v>0.28999999999999998</v>
      </c>
      <c r="AH26">
        <v>0.3</v>
      </c>
      <c r="AI26">
        <v>0.97</v>
      </c>
      <c r="AJ26">
        <v>0.35</v>
      </c>
      <c r="AK26">
        <v>0.19</v>
      </c>
      <c r="AL26">
        <v>0.37</v>
      </c>
      <c r="AM26">
        <v>0.35</v>
      </c>
      <c r="AN26">
        <v>0.08</v>
      </c>
      <c r="AO26">
        <v>0.46</v>
      </c>
      <c r="AR26">
        <v>0.2</v>
      </c>
      <c r="AW26">
        <v>0.3</v>
      </c>
      <c r="AY26" s="23">
        <v>80.5</v>
      </c>
      <c r="AZ26">
        <v>89</v>
      </c>
      <c r="BA26">
        <v>83</v>
      </c>
      <c r="BB26">
        <v>81</v>
      </c>
      <c r="BC26">
        <v>84</v>
      </c>
      <c r="BD26">
        <v>74</v>
      </c>
      <c r="BE26">
        <v>86</v>
      </c>
      <c r="BF26">
        <v>83</v>
      </c>
      <c r="BG26">
        <v>74</v>
      </c>
      <c r="BH26">
        <v>75</v>
      </c>
      <c r="BI26">
        <v>79</v>
      </c>
      <c r="BL26">
        <v>73</v>
      </c>
      <c r="BQ26">
        <v>85</v>
      </c>
      <c r="BS26">
        <v>0.47</v>
      </c>
      <c r="BX26">
        <v>0.28999999999999998</v>
      </c>
      <c r="CB26">
        <v>20</v>
      </c>
      <c r="CC26">
        <v>27</v>
      </c>
      <c r="CD26" s="139">
        <v>50</v>
      </c>
      <c r="CE26" s="139">
        <f t="shared" si="46"/>
        <v>60</v>
      </c>
      <c r="CF26" s="4">
        <v>15.561699999999998</v>
      </c>
      <c r="CH26" s="107">
        <v>6.0038999999999998</v>
      </c>
      <c r="CI26" s="107">
        <v>0</v>
      </c>
      <c r="CJ26" s="107">
        <v>0</v>
      </c>
      <c r="CK26" s="107">
        <v>0.21</v>
      </c>
      <c r="CL26" s="107">
        <v>0.77599999999999991</v>
      </c>
      <c r="CM26" s="107">
        <v>0.20649999999999999</v>
      </c>
      <c r="CN26" s="107">
        <v>0.15579999999999999</v>
      </c>
      <c r="CO26" s="107">
        <v>0.2838</v>
      </c>
      <c r="CP26" s="107">
        <v>0.27379999999999999</v>
      </c>
      <c r="CQ26" s="107">
        <v>0.50180000000000002</v>
      </c>
      <c r="CR26" s="107">
        <v>0.1925</v>
      </c>
      <c r="CS26" s="107">
        <v>4.3200000000000002E-2</v>
      </c>
      <c r="CT26" s="107">
        <v>0.31740000000000002</v>
      </c>
      <c r="CU26" s="107"/>
      <c r="CV26" s="107">
        <v>7.6716499999999996</v>
      </c>
      <c r="CW26" s="107">
        <f t="shared" si="35"/>
        <v>0.49840000000000001</v>
      </c>
      <c r="CX26" s="107">
        <f t="shared" si="36"/>
        <v>0.24069999999999997</v>
      </c>
      <c r="CY26" s="107">
        <f t="shared" si="37"/>
        <v>0.24299999999999999</v>
      </c>
      <c r="CZ26" s="107">
        <f t="shared" si="38"/>
        <v>0.81480000000000008</v>
      </c>
      <c r="DA26" s="107">
        <f t="shared" si="39"/>
        <v>0.25900000000000001</v>
      </c>
      <c r="DB26" s="107">
        <f t="shared" si="40"/>
        <v>0.16339999999999999</v>
      </c>
      <c r="DC26" s="107">
        <f t="shared" si="41"/>
        <v>0.30940000000000001</v>
      </c>
      <c r="DD26" s="107">
        <f t="shared" si="19"/>
        <v>0.30709999999999998</v>
      </c>
      <c r="DE26" s="107">
        <f t="shared" si="11"/>
        <v>0.56210000000000004</v>
      </c>
      <c r="DF26" s="107">
        <f t="shared" si="20"/>
        <v>0.25900000000000001</v>
      </c>
      <c r="DG26" s="107">
        <f t="shared" si="21"/>
        <v>0.06</v>
      </c>
      <c r="DH26" s="107">
        <f t="shared" si="22"/>
        <v>0.36340000000000006</v>
      </c>
      <c r="DI26" s="107"/>
      <c r="DJ26" s="107"/>
      <c r="DK26" s="107"/>
      <c r="DL26" s="107"/>
      <c r="DM26" s="107"/>
      <c r="DN26" s="107"/>
      <c r="DO26" s="107"/>
      <c r="DP26" s="107"/>
      <c r="DQ26">
        <f t="shared" si="26"/>
        <v>5.7999999999999996E-2</v>
      </c>
      <c r="DR26">
        <f t="shared" si="27"/>
        <v>7.8299999999999995E-2</v>
      </c>
      <c r="DS26">
        <f t="shared" si="42"/>
        <v>0.23499999999999999</v>
      </c>
      <c r="DT26">
        <f t="shared" si="43"/>
        <v>0.28199999999999997</v>
      </c>
      <c r="DU26"/>
      <c r="DV26" s="46"/>
      <c r="DW26" s="54">
        <f t="shared" si="45"/>
        <v>0</v>
      </c>
      <c r="DX26" s="33"/>
      <c r="DY26" s="40"/>
      <c r="DZ26" s="40"/>
      <c r="EA26" s="35"/>
      <c r="EB26" s="36">
        <f t="shared" si="29"/>
        <v>0</v>
      </c>
      <c r="EC26" s="68"/>
      <c r="ED26" s="80"/>
      <c r="EE26" s="81"/>
      <c r="EF26" s="81"/>
      <c r="EG26" s="390">
        <v>0.35</v>
      </c>
      <c r="EH26" s="70"/>
      <c r="EI26" s="38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48">
        <f t="shared" si="30"/>
        <v>0.44599901816396664</v>
      </c>
      <c r="FN26" s="48">
        <f t="shared" si="31"/>
        <v>0.29823269513991157</v>
      </c>
      <c r="FO26" s="142">
        <f t="shared" si="32"/>
        <v>1.4954732510288069</v>
      </c>
      <c r="FP26" s="142">
        <f t="shared" si="33"/>
        <v>7.3637702503681873E-2</v>
      </c>
      <c r="FQ26" s="180">
        <f t="shared" si="34"/>
        <v>8.5498426023085008E-2</v>
      </c>
    </row>
    <row r="27" spans="1:173" x14ac:dyDescent="0.15">
      <c r="A27" s="134">
        <v>18</v>
      </c>
      <c r="B27" t="s">
        <v>231</v>
      </c>
      <c r="C27">
        <v>4919</v>
      </c>
      <c r="D27">
        <v>3355</v>
      </c>
      <c r="E27">
        <v>3158</v>
      </c>
      <c r="F27">
        <v>2109</v>
      </c>
      <c r="H27">
        <v>90.82</v>
      </c>
      <c r="I27">
        <v>28.89</v>
      </c>
      <c r="J27">
        <v>9.48</v>
      </c>
      <c r="K27">
        <v>8.69</v>
      </c>
      <c r="M27">
        <v>3.04</v>
      </c>
      <c r="T27">
        <v>3.83</v>
      </c>
      <c r="U27">
        <v>41.86</v>
      </c>
      <c r="V27">
        <v>15.55</v>
      </c>
      <c r="X27">
        <v>43.9</v>
      </c>
      <c r="AB27">
        <v>46.37</v>
      </c>
      <c r="AC27">
        <v>43</v>
      </c>
      <c r="AD27" s="136">
        <v>44.467799999999997</v>
      </c>
      <c r="AF27">
        <v>1.22</v>
      </c>
      <c r="AG27">
        <v>0.78</v>
      </c>
      <c r="AH27">
        <v>1.19</v>
      </c>
      <c r="AI27">
        <v>4.03</v>
      </c>
      <c r="AJ27">
        <v>0.87</v>
      </c>
      <c r="AK27">
        <v>0.62</v>
      </c>
      <c r="AL27">
        <v>1.62</v>
      </c>
      <c r="AM27">
        <v>1.1299999999999999</v>
      </c>
      <c r="AN27">
        <v>0.21</v>
      </c>
      <c r="AO27">
        <v>1.56</v>
      </c>
      <c r="AR27">
        <v>0.56999999999999995</v>
      </c>
      <c r="AW27">
        <v>1.31</v>
      </c>
      <c r="AY27">
        <v>76</v>
      </c>
      <c r="AZ27">
        <v>83</v>
      </c>
      <c r="BA27">
        <v>84</v>
      </c>
      <c r="BB27">
        <v>83</v>
      </c>
      <c r="BC27">
        <v>86</v>
      </c>
      <c r="BD27">
        <v>78</v>
      </c>
      <c r="BE27">
        <v>89</v>
      </c>
      <c r="BF27">
        <v>87</v>
      </c>
      <c r="BG27">
        <v>78</v>
      </c>
      <c r="BH27">
        <v>71</v>
      </c>
      <c r="BI27">
        <v>81</v>
      </c>
      <c r="BL27">
        <v>81</v>
      </c>
      <c r="BQ27">
        <v>80</v>
      </c>
      <c r="BS27">
        <v>0.08</v>
      </c>
      <c r="BT27">
        <v>0.08</v>
      </c>
      <c r="BU27">
        <v>0.17</v>
      </c>
      <c r="BV27">
        <v>0.25</v>
      </c>
      <c r="BW27">
        <v>0.09</v>
      </c>
      <c r="BX27">
        <v>0.56000000000000005</v>
      </c>
      <c r="CB27">
        <v>60</v>
      </c>
      <c r="CC27">
        <v>65</v>
      </c>
      <c r="CD27" s="139">
        <v>50</v>
      </c>
      <c r="CE27" s="139">
        <f t="shared" si="46"/>
        <v>60</v>
      </c>
      <c r="CF27" s="4">
        <v>19.9391</v>
      </c>
      <c r="CH27" s="107">
        <v>19.356300000000001</v>
      </c>
      <c r="CI27" s="107">
        <v>0.91500000000000004</v>
      </c>
      <c r="CJ27" s="107">
        <v>0.63180000000000003</v>
      </c>
      <c r="CK27" s="107">
        <v>0.95199999999999985</v>
      </c>
      <c r="CL27" s="107">
        <v>3.3852000000000002</v>
      </c>
      <c r="CM27" s="107">
        <v>0.6351</v>
      </c>
      <c r="CN27" s="107">
        <v>0.54559999999999997</v>
      </c>
      <c r="CO27" s="107">
        <v>0.98449999999999993</v>
      </c>
      <c r="CP27" s="107">
        <v>1.3446</v>
      </c>
      <c r="CQ27" s="107">
        <v>1.3446</v>
      </c>
      <c r="CR27" s="107">
        <v>0.8022999999999999</v>
      </c>
      <c r="CS27" s="107">
        <v>0.13229999999999997</v>
      </c>
      <c r="CT27" s="107">
        <v>1.2168000000000001</v>
      </c>
      <c r="CU27" s="107"/>
      <c r="CV27" s="107">
        <v>21.956399999999999</v>
      </c>
      <c r="CW27" s="107">
        <f t="shared" si="35"/>
        <v>1.0125999999999999</v>
      </c>
      <c r="CX27" s="107">
        <f t="shared" si="36"/>
        <v>0.6552</v>
      </c>
      <c r="CY27" s="107">
        <f t="shared" si="37"/>
        <v>0.98769999999999991</v>
      </c>
      <c r="CZ27" s="107">
        <f t="shared" si="38"/>
        <v>3.4658000000000002</v>
      </c>
      <c r="DA27" s="107">
        <f t="shared" si="39"/>
        <v>0.67859999999999998</v>
      </c>
      <c r="DB27" s="107">
        <f t="shared" si="40"/>
        <v>0.55179999999999996</v>
      </c>
      <c r="DC27" s="107">
        <f t="shared" si="41"/>
        <v>1.0134999999999998</v>
      </c>
      <c r="DD27" s="107">
        <f t="shared" si="19"/>
        <v>1.4094</v>
      </c>
      <c r="DE27" s="107">
        <f t="shared" si="11"/>
        <v>2.4573999999999998</v>
      </c>
      <c r="DF27" s="107">
        <f t="shared" si="20"/>
        <v>0.88139999999999985</v>
      </c>
      <c r="DG27" s="107">
        <f t="shared" si="21"/>
        <v>0.14910000000000001</v>
      </c>
      <c r="DH27" s="107">
        <f t="shared" si="22"/>
        <v>1.2636000000000001</v>
      </c>
      <c r="DI27" s="107"/>
      <c r="DJ27" s="107"/>
      <c r="DK27" s="107"/>
      <c r="DL27" s="107"/>
      <c r="DM27" s="107"/>
      <c r="DN27" s="107"/>
      <c r="DO27" s="107"/>
      <c r="DP27" s="107"/>
      <c r="DQ27">
        <f t="shared" si="26"/>
        <v>0.33600000000000002</v>
      </c>
      <c r="DR27">
        <f t="shared" si="27"/>
        <v>0.36400000000000005</v>
      </c>
      <c r="DS27">
        <f t="shared" si="42"/>
        <v>0.04</v>
      </c>
      <c r="DT27">
        <f t="shared" si="43"/>
        <v>4.8000000000000001E-2</v>
      </c>
      <c r="DU27"/>
      <c r="DV27" s="46"/>
      <c r="DW27" s="54">
        <f t="shared" si="45"/>
        <v>0</v>
      </c>
      <c r="DX27" s="33"/>
      <c r="DY27" s="40"/>
      <c r="DZ27" s="40"/>
      <c r="EA27" s="35"/>
      <c r="EB27" s="36">
        <f t="shared" si="29"/>
        <v>0</v>
      </c>
      <c r="EC27" s="68"/>
      <c r="ED27" s="80"/>
      <c r="EE27" s="81"/>
      <c r="EF27" s="81"/>
      <c r="EG27" s="390">
        <v>0.15</v>
      </c>
      <c r="EH27" s="70"/>
      <c r="EI27" s="38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47">
        <f t="shared" ref="FK27:FK33" si="55">SUM(FI27:FJ27)/100*K27</f>
        <v>0</v>
      </c>
      <c r="FL27" s="37"/>
      <c r="FM27" s="48">
        <f t="shared" si="30"/>
        <v>0.36459114778694673</v>
      </c>
      <c r="FN27" s="48">
        <f t="shared" si="31"/>
        <v>0.28498470771539036</v>
      </c>
      <c r="FO27" s="142">
        <f t="shared" si="32"/>
        <v>1.2793358307178295</v>
      </c>
      <c r="FP27" s="142">
        <f t="shared" si="33"/>
        <v>4.3020370477234691E-2</v>
      </c>
      <c r="FQ27" s="180">
        <f t="shared" si="34"/>
        <v>0.11996538594669437</v>
      </c>
    </row>
    <row r="28" spans="1:173" x14ac:dyDescent="0.15">
      <c r="A28" s="134">
        <v>19</v>
      </c>
      <c r="B28" t="s">
        <v>232</v>
      </c>
      <c r="C28">
        <v>4849</v>
      </c>
      <c r="D28">
        <v>3620</v>
      </c>
      <c r="E28">
        <v>3434</v>
      </c>
      <c r="F28">
        <v>2384</v>
      </c>
      <c r="H28">
        <v>89.31</v>
      </c>
      <c r="I28">
        <v>27.33</v>
      </c>
      <c r="J28">
        <v>7.06</v>
      </c>
      <c r="K28">
        <v>10.43</v>
      </c>
      <c r="L28">
        <v>11.27</v>
      </c>
      <c r="M28">
        <v>4.1100000000000003</v>
      </c>
      <c r="T28">
        <v>6.73</v>
      </c>
      <c r="U28">
        <v>32.5</v>
      </c>
      <c r="V28">
        <v>11.75</v>
      </c>
      <c r="W28">
        <v>2.61</v>
      </c>
      <c r="X28">
        <v>31.35</v>
      </c>
      <c r="AB28">
        <v>40.710000000000008</v>
      </c>
      <c r="AC28">
        <v>70</v>
      </c>
      <c r="AD28" s="136">
        <v>43.692400000000006</v>
      </c>
      <c r="AF28">
        <v>1.1599999999999999</v>
      </c>
      <c r="AG28">
        <v>0.71</v>
      </c>
      <c r="AH28">
        <v>1.02</v>
      </c>
      <c r="AI28">
        <v>3.13</v>
      </c>
      <c r="AJ28">
        <v>0.77</v>
      </c>
      <c r="AK28">
        <v>0.55000000000000004</v>
      </c>
      <c r="AL28">
        <v>1.34</v>
      </c>
      <c r="AM28">
        <v>0.99</v>
      </c>
      <c r="AN28">
        <v>0.21</v>
      </c>
      <c r="AO28">
        <v>1.35</v>
      </c>
      <c r="AR28">
        <v>0.51</v>
      </c>
      <c r="AW28">
        <v>1.04</v>
      </c>
      <c r="AY28">
        <v>74</v>
      </c>
      <c r="AZ28">
        <v>81</v>
      </c>
      <c r="BA28">
        <v>78</v>
      </c>
      <c r="BB28">
        <v>76</v>
      </c>
      <c r="BC28">
        <v>84</v>
      </c>
      <c r="BD28">
        <v>61</v>
      </c>
      <c r="BE28">
        <v>82</v>
      </c>
      <c r="BF28">
        <v>81</v>
      </c>
      <c r="BG28">
        <v>71</v>
      </c>
      <c r="BH28">
        <v>71</v>
      </c>
      <c r="BI28">
        <v>75</v>
      </c>
      <c r="BL28">
        <v>73</v>
      </c>
      <c r="BQ28">
        <v>81</v>
      </c>
      <c r="BS28">
        <v>0.12</v>
      </c>
      <c r="BU28">
        <v>0.9</v>
      </c>
      <c r="BV28">
        <v>0.28999999999999998</v>
      </c>
      <c r="BW28">
        <v>0.22</v>
      </c>
      <c r="BX28">
        <v>0.73</v>
      </c>
      <c r="BY28">
        <v>0.66</v>
      </c>
      <c r="CA28">
        <v>0.26</v>
      </c>
      <c r="CB28">
        <v>60</v>
      </c>
      <c r="CC28">
        <v>65</v>
      </c>
      <c r="CD28" s="139">
        <v>50</v>
      </c>
      <c r="CE28" s="139">
        <f t="shared" si="46"/>
        <v>60</v>
      </c>
      <c r="CF28" s="4">
        <v>28.497000000000007</v>
      </c>
      <c r="CH28" s="107">
        <v>17.491199999999999</v>
      </c>
      <c r="CI28" s="107">
        <v>0.85839999999999994</v>
      </c>
      <c r="CJ28" s="107">
        <v>0.52539999999999998</v>
      </c>
      <c r="CK28" s="107">
        <v>0.73439999999999994</v>
      </c>
      <c r="CL28" s="107">
        <v>2.5665999999999998</v>
      </c>
      <c r="CM28" s="107">
        <v>0.42349999999999999</v>
      </c>
      <c r="CN28" s="107">
        <v>0.44</v>
      </c>
      <c r="CO28" s="107">
        <v>0.79190000000000005</v>
      </c>
      <c r="CP28" s="107">
        <v>1.0452000000000001</v>
      </c>
      <c r="CQ28" s="107">
        <v>1.8564000000000003</v>
      </c>
      <c r="CR28" s="107">
        <v>0.63359999999999994</v>
      </c>
      <c r="CS28" s="107">
        <v>0.13229999999999997</v>
      </c>
      <c r="CT28" s="107">
        <v>0.95850000000000013</v>
      </c>
      <c r="CU28" s="107"/>
      <c r="CV28" s="107">
        <v>20.2242</v>
      </c>
      <c r="CW28" s="107">
        <f t="shared" si="35"/>
        <v>0.93959999999999999</v>
      </c>
      <c r="CX28" s="107">
        <f t="shared" si="36"/>
        <v>0.55379999999999996</v>
      </c>
      <c r="CY28" s="107">
        <f t="shared" si="37"/>
        <v>0.7752</v>
      </c>
      <c r="CZ28" s="107">
        <f t="shared" si="38"/>
        <v>2.6292</v>
      </c>
      <c r="DA28" s="107">
        <f t="shared" si="39"/>
        <v>0.46970000000000001</v>
      </c>
      <c r="DB28" s="107">
        <f t="shared" si="40"/>
        <v>0.45100000000000001</v>
      </c>
      <c r="DC28" s="107">
        <f t="shared" si="41"/>
        <v>0.82330000000000014</v>
      </c>
      <c r="DD28" s="107">
        <f t="shared" si="19"/>
        <v>1.0854000000000001</v>
      </c>
      <c r="DE28" s="107">
        <f t="shared" si="11"/>
        <v>1.9278000000000002</v>
      </c>
      <c r="DF28" s="107">
        <f t="shared" si="20"/>
        <v>0.70290000000000008</v>
      </c>
      <c r="DG28" s="107">
        <f t="shared" si="21"/>
        <v>0.14910000000000001</v>
      </c>
      <c r="DH28" s="107">
        <f t="shared" si="22"/>
        <v>1.0125</v>
      </c>
      <c r="DI28" s="107"/>
      <c r="DJ28" s="107"/>
      <c r="DK28" s="107"/>
      <c r="DL28" s="107"/>
      <c r="DM28" s="107"/>
      <c r="DN28" s="107"/>
      <c r="DO28" s="107"/>
      <c r="DP28" s="107"/>
      <c r="DQ28">
        <f t="shared" si="26"/>
        <v>0.43799999999999994</v>
      </c>
      <c r="DR28">
        <f t="shared" si="27"/>
        <v>0.47449999999999998</v>
      </c>
      <c r="DS28">
        <f t="shared" si="42"/>
        <v>0.06</v>
      </c>
      <c r="DT28">
        <f t="shared" si="43"/>
        <v>7.1999999999999995E-2</v>
      </c>
      <c r="DU28"/>
      <c r="DV28" s="31"/>
      <c r="DW28" s="54">
        <f t="shared" si="45"/>
        <v>250</v>
      </c>
      <c r="DX28" s="33">
        <v>0.125</v>
      </c>
      <c r="DY28" s="124">
        <f>DY20</f>
        <v>0</v>
      </c>
      <c r="DZ28" s="124">
        <f>DZ20</f>
        <v>0</v>
      </c>
      <c r="EA28" s="42">
        <v>0.77</v>
      </c>
      <c r="EB28" s="36">
        <f t="shared" si="29"/>
        <v>0.56210000000000004</v>
      </c>
      <c r="EC28" s="125">
        <f>0.59*K28</f>
        <v>6.1536999999999997</v>
      </c>
      <c r="ED28" s="37"/>
      <c r="EE28" s="81">
        <v>0</v>
      </c>
      <c r="EF28" s="81"/>
      <c r="EG28" s="390">
        <v>0.15</v>
      </c>
      <c r="EH28" s="126">
        <f>125*K28/10</f>
        <v>130.375</v>
      </c>
      <c r="EI28" s="38">
        <f>IF(AR28="","",AR28*BL28)</f>
        <v>37.230000000000004</v>
      </c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84">
        <v>4.1500000000000002E-2</v>
      </c>
      <c r="FH28" s="84">
        <v>0.88500000000000001</v>
      </c>
      <c r="FI28" s="37">
        <v>56.21</v>
      </c>
      <c r="FJ28" s="37">
        <v>1.22</v>
      </c>
      <c r="FK28" s="47">
        <f t="shared" si="55"/>
        <v>5.9899490000000002</v>
      </c>
      <c r="FL28" s="37"/>
      <c r="FM28" s="48">
        <f t="shared" si="30"/>
        <v>0.38509812870835236</v>
      </c>
      <c r="FN28" s="48">
        <f t="shared" si="31"/>
        <v>0.29484253765403923</v>
      </c>
      <c r="FO28" s="142">
        <f t="shared" si="32"/>
        <v>1.3061145510835912</v>
      </c>
      <c r="FP28" s="142">
        <f t="shared" si="33"/>
        <v>5.6709265175718851E-2</v>
      </c>
      <c r="FQ28" s="180">
        <f t="shared" si="34"/>
        <v>9.6201975850713509E-2</v>
      </c>
    </row>
    <row r="29" spans="1:173" x14ac:dyDescent="0.15">
      <c r="A29" s="134">
        <v>20</v>
      </c>
      <c r="B29" t="s">
        <v>233</v>
      </c>
      <c r="C29">
        <v>4710</v>
      </c>
      <c r="D29">
        <v>3582</v>
      </c>
      <c r="E29">
        <v>3396</v>
      </c>
      <c r="F29">
        <v>2343</v>
      </c>
      <c r="H29">
        <v>89.35</v>
      </c>
      <c r="I29">
        <v>27.36</v>
      </c>
      <c r="J29">
        <v>8.92</v>
      </c>
      <c r="K29">
        <v>8.9</v>
      </c>
      <c r="L29">
        <v>8.7100000000000009</v>
      </c>
      <c r="M29">
        <v>4.04</v>
      </c>
      <c r="T29">
        <v>9.6300000000000008</v>
      </c>
      <c r="U29">
        <v>30.46</v>
      </c>
      <c r="V29">
        <v>12.02</v>
      </c>
      <c r="AB29">
        <v>39.419999999999995</v>
      </c>
      <c r="AC29">
        <v>70</v>
      </c>
      <c r="AD29" s="136">
        <v>43.241</v>
      </c>
      <c r="AF29">
        <v>1.23</v>
      </c>
      <c r="AG29">
        <v>0.74</v>
      </c>
      <c r="AH29">
        <v>1.06</v>
      </c>
      <c r="AI29">
        <v>3.25</v>
      </c>
      <c r="AJ29">
        <v>0.9</v>
      </c>
      <c r="AK29">
        <v>0.56999999999999995</v>
      </c>
      <c r="AL29">
        <v>1.37</v>
      </c>
      <c r="AM29">
        <v>0.99</v>
      </c>
      <c r="AN29">
        <v>0.2</v>
      </c>
      <c r="AO29">
        <v>1.39</v>
      </c>
      <c r="AR29">
        <v>0.44</v>
      </c>
      <c r="AW29">
        <v>1.22</v>
      </c>
      <c r="AY29">
        <v>74</v>
      </c>
      <c r="AZ29">
        <v>81</v>
      </c>
      <c r="BA29">
        <v>78</v>
      </c>
      <c r="BB29">
        <v>76</v>
      </c>
      <c r="BC29">
        <v>84</v>
      </c>
      <c r="BD29">
        <v>61</v>
      </c>
      <c r="BE29">
        <v>82</v>
      </c>
      <c r="BF29">
        <v>81</v>
      </c>
      <c r="BG29">
        <v>71</v>
      </c>
      <c r="BH29">
        <v>71</v>
      </c>
      <c r="BI29">
        <v>75</v>
      </c>
      <c r="BL29">
        <v>73</v>
      </c>
      <c r="BQ29">
        <v>81</v>
      </c>
      <c r="BS29">
        <v>0.08</v>
      </c>
      <c r="BT29">
        <v>0.2</v>
      </c>
      <c r="BU29">
        <v>0.88</v>
      </c>
      <c r="BV29">
        <v>0.49</v>
      </c>
      <c r="BW29">
        <v>0.3</v>
      </c>
      <c r="BX29">
        <v>0.6</v>
      </c>
      <c r="BY29">
        <v>0.48</v>
      </c>
      <c r="CA29">
        <v>0.26</v>
      </c>
      <c r="CB29">
        <v>60</v>
      </c>
      <c r="CC29">
        <v>65</v>
      </c>
      <c r="CD29" s="139">
        <v>50</v>
      </c>
      <c r="CE29" s="139">
        <f t="shared" si="46"/>
        <v>60</v>
      </c>
      <c r="CF29" s="4">
        <v>27.593999999999998</v>
      </c>
      <c r="CH29" s="107">
        <v>17.510400000000001</v>
      </c>
      <c r="CI29" s="107">
        <v>0.91020000000000001</v>
      </c>
      <c r="CJ29" s="107">
        <v>0.54759999999999998</v>
      </c>
      <c r="CK29" s="107">
        <v>0.7632000000000001</v>
      </c>
      <c r="CL29" s="107">
        <v>2.665</v>
      </c>
      <c r="CM29" s="107">
        <v>0.495</v>
      </c>
      <c r="CN29" s="107">
        <v>0.45599999999999996</v>
      </c>
      <c r="CO29" s="107">
        <v>0.75959999999999994</v>
      </c>
      <c r="CP29" s="107">
        <v>1.0686000000000002</v>
      </c>
      <c r="CQ29" s="107">
        <v>2.0202</v>
      </c>
      <c r="CR29" s="107">
        <v>0.63359999999999994</v>
      </c>
      <c r="CS29" s="107">
        <v>0.126</v>
      </c>
      <c r="CT29" s="107">
        <v>0.9869</v>
      </c>
      <c r="CU29" s="107"/>
      <c r="CV29" s="107">
        <v>20.246399999999998</v>
      </c>
      <c r="CW29" s="107">
        <f t="shared" si="35"/>
        <v>0.99629999999999996</v>
      </c>
      <c r="CX29" s="107">
        <f t="shared" si="36"/>
        <v>0.57719999999999994</v>
      </c>
      <c r="CY29" s="107">
        <f t="shared" si="37"/>
        <v>0.80559999999999998</v>
      </c>
      <c r="CZ29" s="107">
        <f t="shared" si="38"/>
        <v>2.73</v>
      </c>
      <c r="DA29" s="107">
        <f t="shared" si="39"/>
        <v>0.54899999999999993</v>
      </c>
      <c r="DB29" s="107">
        <f t="shared" si="40"/>
        <v>0.46739999999999993</v>
      </c>
      <c r="DC29" s="107">
        <f t="shared" si="41"/>
        <v>0.78859999999999986</v>
      </c>
      <c r="DD29" s="107">
        <f t="shared" si="19"/>
        <v>1.1097000000000001</v>
      </c>
      <c r="DE29" s="107">
        <f t="shared" si="11"/>
        <v>2.0979000000000001</v>
      </c>
      <c r="DF29" s="107">
        <f t="shared" si="20"/>
        <v>0.70290000000000008</v>
      </c>
      <c r="DG29" s="107">
        <f t="shared" si="21"/>
        <v>0.14200000000000002</v>
      </c>
      <c r="DH29" s="107">
        <f t="shared" si="22"/>
        <v>1.0424999999999998</v>
      </c>
      <c r="DI29" s="107"/>
      <c r="DJ29" s="107"/>
      <c r="DK29" s="107"/>
      <c r="DL29" s="107"/>
      <c r="DM29" s="107"/>
      <c r="DN29" s="107"/>
      <c r="DO29" s="107"/>
      <c r="DP29" s="107"/>
      <c r="DQ29">
        <f t="shared" si="26"/>
        <v>0.36</v>
      </c>
      <c r="DR29">
        <f t="shared" si="27"/>
        <v>0.39</v>
      </c>
      <c r="DS29">
        <f t="shared" si="42"/>
        <v>0.04</v>
      </c>
      <c r="DT29">
        <f t="shared" si="43"/>
        <v>4.8000000000000001E-2</v>
      </c>
      <c r="DU29"/>
      <c r="DV29" s="46"/>
      <c r="DW29" s="54">
        <f t="shared" si="45"/>
        <v>250</v>
      </c>
      <c r="DX29" s="33">
        <v>0.125</v>
      </c>
      <c r="DY29" s="40"/>
      <c r="DZ29" s="40"/>
      <c r="EA29" s="42">
        <v>0.77</v>
      </c>
      <c r="EB29" s="36">
        <f t="shared" si="29"/>
        <v>0.46199999999999997</v>
      </c>
      <c r="EC29" s="125">
        <f>0.59*K29</f>
        <v>5.2510000000000003</v>
      </c>
      <c r="ED29" s="80"/>
      <c r="EE29" s="81"/>
      <c r="EF29" s="81"/>
      <c r="EG29" s="390">
        <v>0.32</v>
      </c>
      <c r="EH29" s="126">
        <f>125*K29/10</f>
        <v>111.25</v>
      </c>
      <c r="EI29" s="38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>
        <v>56.21</v>
      </c>
      <c r="FJ29" s="37">
        <v>1.22</v>
      </c>
      <c r="FK29" s="47">
        <f t="shared" si="55"/>
        <v>5.1112700000000002</v>
      </c>
      <c r="FL29" s="37"/>
      <c r="FM29" s="48">
        <f t="shared" si="30"/>
        <v>0.38186813186813179</v>
      </c>
      <c r="FN29" s="48">
        <f t="shared" si="31"/>
        <v>0.29509157509157508</v>
      </c>
      <c r="FO29" s="142">
        <f t="shared" si="32"/>
        <v>1.2940665342601785</v>
      </c>
      <c r="FP29" s="142">
        <f t="shared" si="33"/>
        <v>5.2014652014652017E-2</v>
      </c>
      <c r="FQ29" s="180">
        <f t="shared" si="34"/>
        <v>9.978070175438597E-2</v>
      </c>
    </row>
    <row r="30" spans="1:173" x14ac:dyDescent="0.15">
      <c r="A30" s="134">
        <v>21</v>
      </c>
      <c r="B30" t="s">
        <v>234</v>
      </c>
      <c r="C30">
        <v>5098</v>
      </c>
      <c r="D30">
        <v>3291</v>
      </c>
      <c r="E30">
        <v>3102</v>
      </c>
      <c r="F30">
        <v>2009</v>
      </c>
      <c r="H30">
        <v>89.25</v>
      </c>
      <c r="I30">
        <v>27.86</v>
      </c>
      <c r="J30">
        <v>6.19</v>
      </c>
      <c r="K30">
        <v>3.57</v>
      </c>
      <c r="M30">
        <v>4.6399999999999997</v>
      </c>
      <c r="T30">
        <v>10</v>
      </c>
      <c r="U30">
        <v>33.75</v>
      </c>
      <c r="V30">
        <v>16.91</v>
      </c>
      <c r="AB30">
        <v>43.18</v>
      </c>
      <c r="AC30">
        <v>70</v>
      </c>
      <c r="AD30" s="136">
        <v>41.31</v>
      </c>
      <c r="AF30">
        <v>1.31</v>
      </c>
      <c r="AG30">
        <v>0.82</v>
      </c>
      <c r="AH30">
        <v>1.02</v>
      </c>
      <c r="AI30">
        <v>3.64</v>
      </c>
      <c r="AJ30">
        <v>0.68</v>
      </c>
      <c r="AK30">
        <v>0.5</v>
      </c>
      <c r="AL30">
        <v>1.69</v>
      </c>
      <c r="AM30">
        <v>0.97</v>
      </c>
      <c r="AN30">
        <v>0.18</v>
      </c>
      <c r="AO30">
        <v>1.34</v>
      </c>
      <c r="AR30">
        <v>0.51</v>
      </c>
      <c r="AW30">
        <v>1.1299999999999999</v>
      </c>
      <c r="AY30">
        <v>74</v>
      </c>
      <c r="AZ30">
        <v>81</v>
      </c>
      <c r="BA30">
        <v>78</v>
      </c>
      <c r="BB30">
        <v>76</v>
      </c>
      <c r="BC30">
        <v>84</v>
      </c>
      <c r="BD30">
        <v>61</v>
      </c>
      <c r="BE30">
        <v>82</v>
      </c>
      <c r="BF30">
        <v>81</v>
      </c>
      <c r="BG30">
        <v>71</v>
      </c>
      <c r="BH30">
        <v>71</v>
      </c>
      <c r="BI30">
        <v>75</v>
      </c>
      <c r="BL30">
        <v>73</v>
      </c>
      <c r="BQ30">
        <v>81</v>
      </c>
      <c r="BS30">
        <v>0.05</v>
      </c>
      <c r="BX30">
        <v>0.76</v>
      </c>
      <c r="CA30">
        <v>0.26</v>
      </c>
      <c r="CB30">
        <v>60</v>
      </c>
      <c r="CC30">
        <v>65</v>
      </c>
      <c r="CD30" s="139">
        <v>50</v>
      </c>
      <c r="CE30" s="139">
        <f t="shared" si="46"/>
        <v>60</v>
      </c>
      <c r="CF30" s="4">
        <v>30.225999999999999</v>
      </c>
      <c r="CH30" s="107">
        <v>17.830400000000001</v>
      </c>
      <c r="CI30" s="107">
        <v>0.96939999999999993</v>
      </c>
      <c r="CJ30" s="107">
        <v>0.60680000000000001</v>
      </c>
      <c r="CK30" s="107">
        <v>0.73439999999999994</v>
      </c>
      <c r="CL30" s="107">
        <v>2.9848000000000003</v>
      </c>
      <c r="CM30" s="107">
        <v>0.37400000000000005</v>
      </c>
      <c r="CN30" s="107">
        <v>0.4</v>
      </c>
      <c r="CO30" s="107">
        <v>0.75190000000000001</v>
      </c>
      <c r="CP30" s="107">
        <v>1.3182</v>
      </c>
      <c r="CQ30" s="107">
        <v>2.1995999999999998</v>
      </c>
      <c r="CR30" s="107">
        <v>0.62080000000000002</v>
      </c>
      <c r="CS30" s="107">
        <v>0.1134</v>
      </c>
      <c r="CT30" s="107">
        <v>0.95140000000000002</v>
      </c>
      <c r="CU30" s="107"/>
      <c r="CV30" s="107">
        <v>20.616399999999999</v>
      </c>
      <c r="CW30" s="107">
        <f t="shared" si="35"/>
        <v>1.0610999999999999</v>
      </c>
      <c r="CX30" s="107">
        <f t="shared" si="36"/>
        <v>0.63959999999999995</v>
      </c>
      <c r="CY30" s="107">
        <f t="shared" si="37"/>
        <v>0.7752</v>
      </c>
      <c r="CZ30" s="107">
        <f t="shared" si="38"/>
        <v>3.0575999999999999</v>
      </c>
      <c r="DA30" s="107">
        <f t="shared" si="39"/>
        <v>0.41480000000000006</v>
      </c>
      <c r="DB30" s="107">
        <f t="shared" si="40"/>
        <v>0.41</v>
      </c>
      <c r="DC30" s="107">
        <f t="shared" si="41"/>
        <v>0.7823</v>
      </c>
      <c r="DD30" s="107">
        <f t="shared" si="19"/>
        <v>1.3688999999999998</v>
      </c>
      <c r="DE30" s="107">
        <f t="shared" si="11"/>
        <v>2.2841999999999998</v>
      </c>
      <c r="DF30" s="107">
        <f t="shared" si="20"/>
        <v>0.68870000000000009</v>
      </c>
      <c r="DG30" s="107">
        <f t="shared" si="21"/>
        <v>0.1278</v>
      </c>
      <c r="DH30" s="107">
        <f t="shared" si="22"/>
        <v>1.0049999999999999</v>
      </c>
      <c r="DI30" s="107"/>
      <c r="DJ30" s="107"/>
      <c r="DK30" s="107"/>
      <c r="DL30" s="107"/>
      <c r="DM30" s="107"/>
      <c r="DN30" s="107"/>
      <c r="DO30" s="107"/>
      <c r="DP30" s="107"/>
      <c r="DQ30">
        <f t="shared" si="26"/>
        <v>0.45600000000000002</v>
      </c>
      <c r="DR30">
        <f t="shared" si="27"/>
        <v>0.49399999999999999</v>
      </c>
      <c r="DS30">
        <f t="shared" si="42"/>
        <v>2.5000000000000001E-2</v>
      </c>
      <c r="DT30">
        <f t="shared" si="43"/>
        <v>0.03</v>
      </c>
      <c r="DU30"/>
      <c r="DV30" s="46"/>
      <c r="DW30" s="54">
        <f t="shared" si="45"/>
        <v>0</v>
      </c>
      <c r="DX30" s="33"/>
      <c r="DY30" s="40"/>
      <c r="DZ30" s="40"/>
      <c r="EA30" s="35"/>
      <c r="EB30" s="36">
        <f t="shared" si="29"/>
        <v>0</v>
      </c>
      <c r="EC30" s="68"/>
      <c r="ED30" s="80"/>
      <c r="EE30" s="81"/>
      <c r="EF30" s="81"/>
      <c r="EG30" s="390">
        <v>0.04</v>
      </c>
      <c r="EH30" s="126">
        <f>125*K30/10</f>
        <v>44.625</v>
      </c>
      <c r="EI30" s="38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>
        <v>56.21</v>
      </c>
      <c r="FJ30" s="37">
        <v>1.22</v>
      </c>
      <c r="FK30" s="47">
        <f t="shared" si="55"/>
        <v>2.0502509999999998</v>
      </c>
      <c r="FL30" s="37"/>
      <c r="FM30" s="48">
        <f t="shared" si="30"/>
        <v>0.32868916797488223</v>
      </c>
      <c r="FN30" s="48">
        <f t="shared" si="31"/>
        <v>0.25353218210361067</v>
      </c>
      <c r="FO30" s="142">
        <f t="shared" si="32"/>
        <v>1.296439628482972</v>
      </c>
      <c r="FP30" s="142">
        <f t="shared" si="33"/>
        <v>4.1797488226059658E-2</v>
      </c>
      <c r="FQ30" s="180">
        <f t="shared" si="34"/>
        <v>0.10974874371859296</v>
      </c>
    </row>
    <row r="31" spans="1:173" x14ac:dyDescent="0.15">
      <c r="A31" s="134">
        <v>22</v>
      </c>
      <c r="B31" t="s">
        <v>235</v>
      </c>
      <c r="C31">
        <v>5173</v>
      </c>
      <c r="D31">
        <v>4040</v>
      </c>
      <c r="E31">
        <v>3732</v>
      </c>
      <c r="F31">
        <v>2342</v>
      </c>
      <c r="H31">
        <v>91.2</v>
      </c>
      <c r="I31">
        <v>45.35</v>
      </c>
      <c r="J31">
        <v>7.3</v>
      </c>
      <c r="K31">
        <v>3.54</v>
      </c>
      <c r="L31">
        <v>3.7</v>
      </c>
      <c r="M31">
        <v>2.39</v>
      </c>
      <c r="T31">
        <v>10.15</v>
      </c>
      <c r="U31">
        <v>33.630000000000003</v>
      </c>
      <c r="V31">
        <v>20.63</v>
      </c>
      <c r="W31">
        <v>3.77</v>
      </c>
      <c r="AB31">
        <v>29.770000000000003</v>
      </c>
      <c r="AC31">
        <v>43</v>
      </c>
      <c r="AD31" s="136">
        <v>44.588400000000007</v>
      </c>
      <c r="AF31">
        <v>1.62</v>
      </c>
      <c r="AG31">
        <v>1.07</v>
      </c>
      <c r="AH31">
        <v>1.83</v>
      </c>
      <c r="AI31">
        <v>6.18</v>
      </c>
      <c r="AJ31">
        <v>1.22</v>
      </c>
      <c r="AK31">
        <v>0.93</v>
      </c>
      <c r="AL31">
        <v>2.42</v>
      </c>
      <c r="AM31">
        <v>1.59</v>
      </c>
      <c r="AN31">
        <v>0.24</v>
      </c>
      <c r="AO31">
        <v>2.12</v>
      </c>
      <c r="AR31">
        <v>0.82</v>
      </c>
      <c r="AW31">
        <v>1.92</v>
      </c>
      <c r="AY31">
        <v>76</v>
      </c>
      <c r="AZ31">
        <v>85</v>
      </c>
      <c r="BA31">
        <v>79</v>
      </c>
      <c r="BB31">
        <v>80</v>
      </c>
      <c r="BC31">
        <v>86</v>
      </c>
      <c r="BD31">
        <v>69</v>
      </c>
      <c r="BE31">
        <v>86</v>
      </c>
      <c r="BF31">
        <v>84</v>
      </c>
      <c r="BG31">
        <v>75</v>
      </c>
      <c r="BH31">
        <v>82</v>
      </c>
      <c r="BI31">
        <v>78</v>
      </c>
      <c r="BL31">
        <v>78</v>
      </c>
      <c r="BQ31">
        <v>85</v>
      </c>
      <c r="BS31">
        <v>0.02</v>
      </c>
      <c r="BU31">
        <v>0.37</v>
      </c>
      <c r="BV31">
        <v>0.09</v>
      </c>
      <c r="BW31">
        <v>0.06</v>
      </c>
      <c r="BX31">
        <v>0.36</v>
      </c>
      <c r="BY31">
        <v>0.75</v>
      </c>
      <c r="CA31">
        <v>0.11</v>
      </c>
      <c r="CB31">
        <v>64</v>
      </c>
      <c r="CC31">
        <v>73</v>
      </c>
      <c r="CD31" s="139">
        <v>50</v>
      </c>
      <c r="CE31" s="139">
        <f t="shared" si="46"/>
        <v>60</v>
      </c>
      <c r="CF31" s="4">
        <v>12.801100000000002</v>
      </c>
      <c r="CH31" s="107">
        <v>31.745000000000001</v>
      </c>
      <c r="CI31" s="107">
        <v>1.3122</v>
      </c>
      <c r="CJ31" s="107">
        <v>0.82389999999999997</v>
      </c>
      <c r="CK31" s="107">
        <v>1.4091</v>
      </c>
      <c r="CL31" s="107">
        <v>5.2529999999999992</v>
      </c>
      <c r="CM31" s="107">
        <v>0.79299999999999993</v>
      </c>
      <c r="CN31" s="107">
        <v>0.79049999999999998</v>
      </c>
      <c r="CO31" s="107">
        <v>1.4055</v>
      </c>
      <c r="CP31" s="107">
        <v>1.9843999999999999</v>
      </c>
      <c r="CQ31" s="107">
        <v>3.5779999999999998</v>
      </c>
      <c r="CR31" s="107">
        <v>1.1130000000000002</v>
      </c>
      <c r="CS31" s="107">
        <v>0.18239999999999998</v>
      </c>
      <c r="CT31" s="107">
        <v>1.59</v>
      </c>
      <c r="CU31" s="107"/>
      <c r="CV31" s="107">
        <v>34.466000000000001</v>
      </c>
      <c r="CW31" s="107">
        <f t="shared" si="35"/>
        <v>1.3770000000000002</v>
      </c>
      <c r="CX31" s="107">
        <f t="shared" si="36"/>
        <v>0.84530000000000005</v>
      </c>
      <c r="CY31" s="107">
        <f t="shared" si="37"/>
        <v>1.464</v>
      </c>
      <c r="CZ31" s="107">
        <f t="shared" si="38"/>
        <v>5.3148</v>
      </c>
      <c r="DA31" s="107">
        <f t="shared" si="39"/>
        <v>0.84179999999999988</v>
      </c>
      <c r="DB31" s="107">
        <f t="shared" si="40"/>
        <v>0.79980000000000007</v>
      </c>
      <c r="DC31" s="107">
        <f t="shared" si="41"/>
        <v>1.4394</v>
      </c>
      <c r="DD31" s="107">
        <f t="shared" si="19"/>
        <v>2.0327999999999999</v>
      </c>
      <c r="DE31" s="107">
        <f t="shared" si="11"/>
        <v>3.6647999999999996</v>
      </c>
      <c r="DF31" s="107">
        <f t="shared" si="20"/>
        <v>1.1924999999999999</v>
      </c>
      <c r="DG31" s="107">
        <f t="shared" si="21"/>
        <v>0.1968</v>
      </c>
      <c r="DH31" s="107">
        <f t="shared" si="22"/>
        <v>1.6536000000000002</v>
      </c>
      <c r="DI31" s="107"/>
      <c r="DJ31" s="107"/>
      <c r="DK31" s="107"/>
      <c r="DL31" s="107"/>
      <c r="DM31" s="107"/>
      <c r="DN31" s="107"/>
      <c r="DO31" s="107"/>
      <c r="DP31" s="107"/>
      <c r="DQ31">
        <f t="shared" si="26"/>
        <v>0.23039999999999999</v>
      </c>
      <c r="DR31">
        <f t="shared" si="27"/>
        <v>0.26279999999999998</v>
      </c>
      <c r="DS31">
        <f t="shared" si="42"/>
        <v>0.01</v>
      </c>
      <c r="DT31">
        <f t="shared" si="43"/>
        <v>1.2E-2</v>
      </c>
      <c r="DU31"/>
      <c r="DV31" s="32">
        <v>36.5</v>
      </c>
      <c r="DW31" s="54">
        <f t="shared" si="45"/>
        <v>120</v>
      </c>
      <c r="DX31" s="33">
        <v>0.06</v>
      </c>
      <c r="DY31" s="34"/>
      <c r="DZ31" s="34"/>
      <c r="EA31" s="42">
        <v>0.77</v>
      </c>
      <c r="EB31" s="36">
        <f t="shared" si="29"/>
        <v>0.2772</v>
      </c>
      <c r="EC31" s="125">
        <f>0.59*K31</f>
        <v>2.0886</v>
      </c>
      <c r="ED31" s="80"/>
      <c r="EE31" s="81"/>
      <c r="EF31" s="81"/>
      <c r="EG31" s="390">
        <v>0.11</v>
      </c>
      <c r="EH31" s="126">
        <f>125*K31/10</f>
        <v>44.25</v>
      </c>
      <c r="EI31" s="38">
        <f>IF(AR31="","",AR31*BL31)</f>
        <v>63.959999999999994</v>
      </c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48">
        <v>1.6500000000000001E-2</v>
      </c>
      <c r="FH31" s="84">
        <v>0.89539999999999997</v>
      </c>
      <c r="FI31" s="37">
        <v>56.21</v>
      </c>
      <c r="FJ31" s="37">
        <v>1.22</v>
      </c>
      <c r="FK31" s="47">
        <f t="shared" si="55"/>
        <v>2.0330220000000003</v>
      </c>
      <c r="FL31" s="37"/>
      <c r="FM31" s="48">
        <f t="shared" si="30"/>
        <v>0.31113118085346581</v>
      </c>
      <c r="FN31" s="48">
        <f t="shared" si="31"/>
        <v>0.27545721381801763</v>
      </c>
      <c r="FO31" s="142">
        <f t="shared" si="32"/>
        <v>1.1295081967213116</v>
      </c>
      <c r="FP31" s="142">
        <f t="shared" si="33"/>
        <v>3.7028674644389255E-2</v>
      </c>
      <c r="FQ31" s="180">
        <f t="shared" si="34"/>
        <v>0.11719514884233737</v>
      </c>
    </row>
    <row r="32" spans="1:173" x14ac:dyDescent="0.15">
      <c r="A32" s="134">
        <v>23</v>
      </c>
      <c r="B32" t="s">
        <v>236</v>
      </c>
      <c r="C32">
        <v>4919</v>
      </c>
      <c r="D32">
        <v>3670</v>
      </c>
      <c r="E32">
        <v>3569</v>
      </c>
      <c r="F32">
        <v>2807</v>
      </c>
      <c r="H32">
        <v>90.87</v>
      </c>
      <c r="I32">
        <v>14.79</v>
      </c>
      <c r="K32">
        <v>19.739999999999998</v>
      </c>
      <c r="L32">
        <v>17.600000000000001</v>
      </c>
      <c r="M32">
        <v>5.54</v>
      </c>
      <c r="N32">
        <v>0</v>
      </c>
      <c r="O32">
        <v>0</v>
      </c>
      <c r="P32">
        <v>0</v>
      </c>
      <c r="Q32">
        <v>0</v>
      </c>
      <c r="R32">
        <v>0</v>
      </c>
      <c r="T32">
        <v>23.51</v>
      </c>
      <c r="U32">
        <v>18.27</v>
      </c>
      <c r="V32">
        <v>6.67</v>
      </c>
      <c r="W32">
        <v>2.37</v>
      </c>
      <c r="AB32">
        <v>27.290000000000017</v>
      </c>
      <c r="AC32">
        <v>55</v>
      </c>
      <c r="AD32" s="136">
        <v>45.466000000000008</v>
      </c>
      <c r="AF32">
        <v>1.1100000000000001</v>
      </c>
      <c r="AG32">
        <v>0.42</v>
      </c>
      <c r="AH32">
        <v>0.43</v>
      </c>
      <c r="AI32">
        <v>1.05</v>
      </c>
      <c r="AJ32">
        <v>0.78</v>
      </c>
      <c r="AK32">
        <v>0.26</v>
      </c>
      <c r="AL32">
        <v>0.56999999999999995</v>
      </c>
      <c r="AM32">
        <v>0.52</v>
      </c>
      <c r="AN32">
        <v>0.1</v>
      </c>
      <c r="AO32">
        <v>0.72</v>
      </c>
      <c r="AR32">
        <v>0.32</v>
      </c>
      <c r="AW32">
        <v>0.41</v>
      </c>
      <c r="AY32">
        <v>56</v>
      </c>
      <c r="AZ32">
        <v>87</v>
      </c>
      <c r="BA32">
        <v>72</v>
      </c>
      <c r="BB32">
        <v>61</v>
      </c>
      <c r="BC32">
        <v>69</v>
      </c>
      <c r="BD32">
        <v>64</v>
      </c>
      <c r="BE32">
        <v>72</v>
      </c>
      <c r="BF32">
        <v>66</v>
      </c>
      <c r="BG32">
        <v>57</v>
      </c>
      <c r="BH32">
        <v>63</v>
      </c>
      <c r="BI32">
        <v>67</v>
      </c>
      <c r="BL32">
        <v>66</v>
      </c>
      <c r="BQ32">
        <v>61</v>
      </c>
      <c r="BS32">
        <v>0.02</v>
      </c>
      <c r="BU32">
        <v>1.53</v>
      </c>
      <c r="BV32">
        <v>0.52</v>
      </c>
      <c r="BW32">
        <v>0.01</v>
      </c>
      <c r="BX32">
        <v>1.27</v>
      </c>
      <c r="BY32">
        <v>0.17</v>
      </c>
      <c r="CA32">
        <v>1.07</v>
      </c>
      <c r="CB32">
        <v>33</v>
      </c>
      <c r="CC32">
        <v>37</v>
      </c>
      <c r="CD32" s="139">
        <v>50</v>
      </c>
      <c r="CE32" s="139">
        <f t="shared" si="46"/>
        <v>60</v>
      </c>
      <c r="CF32" s="4">
        <v>15.00950000000001</v>
      </c>
      <c r="CH32" s="107">
        <v>4.8807</v>
      </c>
      <c r="CI32" s="107">
        <v>0.87690000000000012</v>
      </c>
      <c r="CJ32" s="107">
        <v>0.27300000000000002</v>
      </c>
      <c r="CK32" s="107">
        <v>0.21929999999999999</v>
      </c>
      <c r="CL32" s="107">
        <v>0.64049999999999996</v>
      </c>
      <c r="CM32" s="107">
        <v>0.43680000000000002</v>
      </c>
      <c r="CN32" s="107">
        <v>0.17420000000000002</v>
      </c>
      <c r="CO32" s="107">
        <v>0.35980000000000001</v>
      </c>
      <c r="CP32" s="107">
        <v>0.32489999999999997</v>
      </c>
      <c r="CQ32" s="107">
        <v>0.53400000000000003</v>
      </c>
      <c r="CR32" s="107">
        <v>0.21840000000000001</v>
      </c>
      <c r="CS32" s="107">
        <v>0.05</v>
      </c>
      <c r="CT32" s="107">
        <v>0.41039999999999999</v>
      </c>
      <c r="CU32" s="107"/>
      <c r="CV32" s="107">
        <v>8.2824000000000009</v>
      </c>
      <c r="CW32" s="107">
        <f t="shared" si="35"/>
        <v>0.96570000000000011</v>
      </c>
      <c r="CX32" s="107">
        <f t="shared" si="36"/>
        <v>0.3024</v>
      </c>
      <c r="CY32" s="107">
        <f t="shared" si="37"/>
        <v>0.26229999999999998</v>
      </c>
      <c r="CZ32" s="107">
        <f t="shared" si="38"/>
        <v>0.72450000000000003</v>
      </c>
      <c r="DA32" s="107">
        <f t="shared" si="39"/>
        <v>0.49920000000000003</v>
      </c>
      <c r="DB32" s="107">
        <f t="shared" si="40"/>
        <v>0.18719999999999998</v>
      </c>
      <c r="DC32" s="107">
        <f t="shared" si="41"/>
        <v>0.39840000000000003</v>
      </c>
      <c r="DD32" s="107">
        <f t="shared" si="19"/>
        <v>0.37619999999999998</v>
      </c>
      <c r="DE32" s="107">
        <f t="shared" si="11"/>
        <v>0.62629999999999997</v>
      </c>
      <c r="DF32" s="107">
        <f t="shared" si="20"/>
        <v>0.2964</v>
      </c>
      <c r="DG32" s="107">
        <f t="shared" si="21"/>
        <v>6.3E-2</v>
      </c>
      <c r="DH32" s="107">
        <f t="shared" si="22"/>
        <v>0.48239999999999994</v>
      </c>
      <c r="DI32" s="107"/>
      <c r="DJ32" s="107"/>
      <c r="DK32" s="107"/>
      <c r="DL32" s="107"/>
      <c r="DM32" s="107"/>
      <c r="DN32" s="107"/>
      <c r="DO32" s="107"/>
      <c r="DP32" s="107"/>
      <c r="DQ32">
        <f t="shared" si="26"/>
        <v>0.41910000000000003</v>
      </c>
      <c r="DR32">
        <f t="shared" si="27"/>
        <v>0.46990000000000004</v>
      </c>
      <c r="DS32">
        <f t="shared" si="42"/>
        <v>0.01</v>
      </c>
      <c r="DT32">
        <f t="shared" si="43"/>
        <v>1.2E-2</v>
      </c>
      <c r="DU32"/>
      <c r="DV32"/>
      <c r="DW32" s="54">
        <f t="shared" si="45"/>
        <v>0</v>
      </c>
      <c r="DX32" s="33"/>
      <c r="DY32"/>
      <c r="DZ32"/>
      <c r="EA32" s="142"/>
      <c r="EB32" s="36">
        <f t="shared" si="29"/>
        <v>0</v>
      </c>
      <c r="EC32"/>
      <c r="ED32"/>
      <c r="EE32"/>
      <c r="EF32"/>
      <c r="EG32" s="390">
        <v>0.84</v>
      </c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 s="118">
        <v>57.2</v>
      </c>
      <c r="FJ32" s="118">
        <v>1.1000000000000001</v>
      </c>
      <c r="FK32" s="47">
        <f t="shared" si="55"/>
        <v>11.508420000000001</v>
      </c>
      <c r="FL32"/>
      <c r="FM32" s="48">
        <f t="shared" si="30"/>
        <v>0.66583850931677002</v>
      </c>
      <c r="FN32" s="48">
        <f t="shared" si="31"/>
        <v>0.36204278812974461</v>
      </c>
      <c r="FO32" s="142">
        <f t="shared" si="32"/>
        <v>1.839115516584064</v>
      </c>
      <c r="FP32" s="142">
        <f t="shared" si="33"/>
        <v>8.6956521739130432E-2</v>
      </c>
      <c r="FQ32" s="180">
        <f t="shared" si="34"/>
        <v>4.8985801217038542E-2</v>
      </c>
    </row>
    <row r="33" spans="1:173" x14ac:dyDescent="0.15">
      <c r="A33" s="134">
        <v>24</v>
      </c>
      <c r="B33" t="s">
        <v>237</v>
      </c>
      <c r="C33">
        <v>4178</v>
      </c>
      <c r="D33">
        <v>2988</v>
      </c>
      <c r="E33">
        <v>2830</v>
      </c>
      <c r="F33">
        <v>1888</v>
      </c>
      <c r="H33">
        <v>90.1</v>
      </c>
      <c r="I33">
        <v>23.33</v>
      </c>
      <c r="J33">
        <v>9.5299999999999994</v>
      </c>
      <c r="K33">
        <v>2.12</v>
      </c>
      <c r="L33">
        <v>5.41</v>
      </c>
      <c r="M33">
        <v>2.96</v>
      </c>
      <c r="T33">
        <v>14.2</v>
      </c>
      <c r="U33">
        <v>44.46</v>
      </c>
      <c r="V33">
        <v>10.75</v>
      </c>
      <c r="W33">
        <v>1.0900000000000001</v>
      </c>
      <c r="X33">
        <v>41.56</v>
      </c>
      <c r="AB33">
        <v>47.489999999999995</v>
      </c>
      <c r="AC33">
        <v>55</v>
      </c>
      <c r="AD33" s="136">
        <v>41.5946</v>
      </c>
      <c r="AF33">
        <v>1.49</v>
      </c>
      <c r="AG33">
        <v>1.17</v>
      </c>
      <c r="AH33">
        <v>0.64</v>
      </c>
      <c r="AI33">
        <v>0.75</v>
      </c>
      <c r="AJ33">
        <v>1.7</v>
      </c>
      <c r="AK33">
        <v>1.04</v>
      </c>
      <c r="AL33">
        <v>0.37</v>
      </c>
      <c r="AM33">
        <v>0.89</v>
      </c>
      <c r="AN33">
        <v>0.78</v>
      </c>
      <c r="AO33">
        <v>0.63</v>
      </c>
      <c r="AR33">
        <v>0.25</v>
      </c>
      <c r="AW33">
        <v>0.63</v>
      </c>
      <c r="AZ33">
        <v>83</v>
      </c>
      <c r="BA33">
        <v>78</v>
      </c>
      <c r="BB33">
        <v>75</v>
      </c>
      <c r="BC33">
        <v>78</v>
      </c>
      <c r="BD33">
        <v>62</v>
      </c>
      <c r="BE33">
        <v>80</v>
      </c>
      <c r="BF33">
        <v>81</v>
      </c>
      <c r="BG33">
        <v>70</v>
      </c>
      <c r="BH33">
        <v>66</v>
      </c>
      <c r="BI33">
        <v>73</v>
      </c>
      <c r="BL33">
        <v>63</v>
      </c>
      <c r="BQ33">
        <v>79</v>
      </c>
      <c r="BS33">
        <v>0.03</v>
      </c>
      <c r="BU33">
        <v>0.54</v>
      </c>
      <c r="BV33">
        <v>0.36</v>
      </c>
      <c r="BX33">
        <v>0.9</v>
      </c>
      <c r="BY33">
        <v>0.36</v>
      </c>
      <c r="CB33">
        <v>33</v>
      </c>
      <c r="CC33">
        <v>37</v>
      </c>
      <c r="CD33" s="139">
        <v>50</v>
      </c>
      <c r="CE33" s="139">
        <f t="shared" si="46"/>
        <v>60</v>
      </c>
      <c r="CF33" s="4">
        <v>26.119499999999999</v>
      </c>
      <c r="CH33" s="107">
        <v>13.997999999999999</v>
      </c>
      <c r="CI33" s="107">
        <v>1.1323999999999999</v>
      </c>
      <c r="CJ33" s="107">
        <v>0.83069999999999988</v>
      </c>
      <c r="CK33" s="107">
        <v>0.4224</v>
      </c>
      <c r="CL33" s="107">
        <v>0.54</v>
      </c>
      <c r="CM33" s="107">
        <v>0.90099999999999991</v>
      </c>
      <c r="CN33" s="107">
        <v>0.80079999999999996</v>
      </c>
      <c r="CO33" s="107">
        <v>0.94829999999999992</v>
      </c>
      <c r="CP33" s="107">
        <v>0.27750000000000002</v>
      </c>
      <c r="CQ33" s="107">
        <v>0.75</v>
      </c>
      <c r="CR33" s="107">
        <v>0.52510000000000001</v>
      </c>
      <c r="CS33" s="107">
        <v>0.41340000000000005</v>
      </c>
      <c r="CT33" s="107">
        <v>0.4032</v>
      </c>
      <c r="CU33" s="107"/>
      <c r="CV33" s="107">
        <v>0</v>
      </c>
      <c r="CW33" s="107">
        <f t="shared" si="35"/>
        <v>1.2366999999999999</v>
      </c>
      <c r="CX33" s="107">
        <f t="shared" si="36"/>
        <v>0.91259999999999986</v>
      </c>
      <c r="CY33" s="107">
        <f t="shared" si="37"/>
        <v>0.48</v>
      </c>
      <c r="CZ33" s="107">
        <f t="shared" si="38"/>
        <v>0.58499999999999996</v>
      </c>
      <c r="DA33" s="107">
        <f t="shared" si="39"/>
        <v>1.0539999999999998</v>
      </c>
      <c r="DB33" s="107">
        <f t="shared" si="40"/>
        <v>0.83200000000000007</v>
      </c>
      <c r="DC33" s="107">
        <f t="shared" si="41"/>
        <v>0.98950000000000005</v>
      </c>
      <c r="DD33" s="107">
        <f t="shared" si="19"/>
        <v>0.29969999999999997</v>
      </c>
      <c r="DE33" s="107">
        <f t="shared" si="11"/>
        <v>0.7974</v>
      </c>
      <c r="DF33" s="107">
        <f t="shared" si="20"/>
        <v>0.623</v>
      </c>
      <c r="DG33" s="107">
        <f t="shared" si="21"/>
        <v>0.51480000000000004</v>
      </c>
      <c r="DH33" s="107">
        <f t="shared" si="22"/>
        <v>0.45990000000000003</v>
      </c>
      <c r="DI33" s="107"/>
      <c r="DJ33" s="107"/>
      <c r="DK33" s="107"/>
      <c r="DL33" s="107"/>
      <c r="DM33" s="107"/>
      <c r="DN33" s="107"/>
      <c r="DO33" s="107"/>
      <c r="DP33" s="107"/>
      <c r="DQ33">
        <f t="shared" si="26"/>
        <v>0.29699999999999999</v>
      </c>
      <c r="DR33">
        <f t="shared" si="27"/>
        <v>0.33300000000000002</v>
      </c>
      <c r="DS33">
        <f t="shared" si="42"/>
        <v>1.4999999999999999E-2</v>
      </c>
      <c r="DT33">
        <f t="shared" si="43"/>
        <v>1.7999999999999999E-2</v>
      </c>
      <c r="DU33"/>
      <c r="DV33"/>
      <c r="DW33" s="54">
        <f t="shared" si="45"/>
        <v>0</v>
      </c>
      <c r="DX33" s="33"/>
      <c r="DY33"/>
      <c r="DZ33"/>
      <c r="EA33" s="142"/>
      <c r="EB33" s="36">
        <f t="shared" si="29"/>
        <v>0</v>
      </c>
      <c r="EC33"/>
      <c r="ED33"/>
      <c r="EE33"/>
      <c r="EF33"/>
      <c r="EG33" s="390">
        <v>0.54</v>
      </c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 s="118">
        <v>57.2</v>
      </c>
      <c r="FJ33" s="118">
        <v>1.1000000000000001</v>
      </c>
      <c r="FK33" s="47">
        <f t="shared" si="55"/>
        <v>1.2359600000000002</v>
      </c>
      <c r="FL33"/>
      <c r="FM33" s="48">
        <f t="shared" si="30"/>
        <v>0.7861538461538462</v>
      </c>
      <c r="FN33" s="48">
        <f t="shared" si="31"/>
        <v>0.82051282051282048</v>
      </c>
      <c r="FO33" s="142">
        <f t="shared" si="32"/>
        <v>0.95812500000000012</v>
      </c>
      <c r="FP33" s="142">
        <f t="shared" si="33"/>
        <v>0.88000000000000012</v>
      </c>
      <c r="FQ33" s="180">
        <f t="shared" si="34"/>
        <v>2.5075010715816547E-2</v>
      </c>
    </row>
    <row r="34" spans="1:173" x14ac:dyDescent="0.15">
      <c r="A34" s="134">
        <v>25</v>
      </c>
      <c r="B34" t="s">
        <v>238</v>
      </c>
      <c r="C34">
        <v>3989</v>
      </c>
      <c r="D34">
        <v>2990</v>
      </c>
      <c r="E34">
        <v>2872</v>
      </c>
      <c r="F34">
        <v>2043</v>
      </c>
      <c r="H34">
        <v>87.13</v>
      </c>
      <c r="I34">
        <v>17.39</v>
      </c>
      <c r="J34">
        <v>7.08</v>
      </c>
      <c r="K34">
        <v>4.21</v>
      </c>
      <c r="M34">
        <v>5.14</v>
      </c>
      <c r="N34">
        <v>0</v>
      </c>
      <c r="O34">
        <v>0</v>
      </c>
      <c r="P34">
        <v>0</v>
      </c>
      <c r="Q34">
        <v>0</v>
      </c>
      <c r="R34">
        <v>0</v>
      </c>
      <c r="T34">
        <v>23.67</v>
      </c>
      <c r="U34">
        <v>27.5</v>
      </c>
      <c r="V34">
        <v>8.43</v>
      </c>
      <c r="X34">
        <v>26.8</v>
      </c>
      <c r="AB34">
        <v>36.72</v>
      </c>
      <c r="AC34">
        <v>48</v>
      </c>
      <c r="AD34" s="136">
        <v>39.355100000000007</v>
      </c>
      <c r="AF34">
        <v>1.04</v>
      </c>
      <c r="AG34">
        <v>0.67</v>
      </c>
      <c r="AH34">
        <v>0.66</v>
      </c>
      <c r="AI34">
        <v>1.96</v>
      </c>
      <c r="AJ34">
        <v>0.63</v>
      </c>
      <c r="AK34">
        <v>0.35</v>
      </c>
      <c r="AL34">
        <v>0.76</v>
      </c>
      <c r="AM34">
        <v>0.74</v>
      </c>
      <c r="AN34">
        <v>7.0000000000000007E-2</v>
      </c>
      <c r="AO34">
        <v>1.01</v>
      </c>
      <c r="AR34">
        <v>0.46</v>
      </c>
      <c r="AW34">
        <v>0.57999999999999996</v>
      </c>
      <c r="AY34" s="23">
        <v>76.583333333333329</v>
      </c>
      <c r="AZ34">
        <v>86</v>
      </c>
      <c r="BA34">
        <v>75</v>
      </c>
      <c r="BB34">
        <v>80</v>
      </c>
      <c r="BC34">
        <v>85</v>
      </c>
      <c r="BD34">
        <v>66</v>
      </c>
      <c r="BE34">
        <v>82</v>
      </c>
      <c r="BF34">
        <v>85</v>
      </c>
      <c r="BG34">
        <v>71</v>
      </c>
      <c r="BH34">
        <v>66</v>
      </c>
      <c r="BI34">
        <v>77</v>
      </c>
      <c r="BL34">
        <v>62</v>
      </c>
      <c r="BQ34">
        <v>84</v>
      </c>
      <c r="BS34">
        <v>0.09</v>
      </c>
      <c r="BT34">
        <v>0.22</v>
      </c>
      <c r="BU34">
        <v>0.98</v>
      </c>
      <c r="BV34">
        <v>0.33</v>
      </c>
      <c r="BW34">
        <v>0.15</v>
      </c>
      <c r="BX34">
        <v>0.78</v>
      </c>
      <c r="BY34">
        <v>0.22</v>
      </c>
      <c r="CA34">
        <v>0.62</v>
      </c>
      <c r="CB34">
        <v>26</v>
      </c>
      <c r="CC34">
        <v>32</v>
      </c>
      <c r="CD34" s="139">
        <v>50</v>
      </c>
      <c r="CE34" s="139">
        <f t="shared" si="46"/>
        <v>60</v>
      </c>
      <c r="CF34" s="4">
        <v>17.625599999999999</v>
      </c>
      <c r="CH34" s="107">
        <v>11.1296</v>
      </c>
      <c r="CI34" s="107">
        <v>0.8216</v>
      </c>
      <c r="CJ34" s="107">
        <v>0.46230000000000004</v>
      </c>
      <c r="CK34" s="107">
        <v>0.44880000000000003</v>
      </c>
      <c r="CL34" s="107">
        <v>1.5875999999999999</v>
      </c>
      <c r="CM34" s="107">
        <v>0.32130000000000003</v>
      </c>
      <c r="CN34" s="107">
        <v>0.27649999999999997</v>
      </c>
      <c r="CO34" s="107">
        <v>0.52029999999999998</v>
      </c>
      <c r="CP34" s="107">
        <v>0.60799999999999998</v>
      </c>
      <c r="CQ34" s="107">
        <v>1.0720000000000001</v>
      </c>
      <c r="CR34" s="107">
        <v>0.42180000000000001</v>
      </c>
      <c r="CS34" s="107">
        <v>3.2900000000000006E-2</v>
      </c>
      <c r="CT34" s="107">
        <v>0.71709999999999996</v>
      </c>
      <c r="CU34" s="107"/>
      <c r="CV34" s="107">
        <v>13.317841666666666</v>
      </c>
      <c r="CW34" s="107">
        <f t="shared" si="35"/>
        <v>0.89439999999999997</v>
      </c>
      <c r="CX34" s="107">
        <f t="shared" si="36"/>
        <v>0.50249999999999995</v>
      </c>
      <c r="CY34" s="107">
        <f t="shared" si="37"/>
        <v>0.52800000000000002</v>
      </c>
      <c r="CZ34" s="107">
        <f t="shared" si="38"/>
        <v>1.6659999999999999</v>
      </c>
      <c r="DA34" s="107">
        <f t="shared" si="39"/>
        <v>0.4158</v>
      </c>
      <c r="DB34" s="107">
        <f t="shared" si="40"/>
        <v>0.28699999999999998</v>
      </c>
      <c r="DC34" s="107">
        <f t="shared" si="41"/>
        <v>0.57220000000000004</v>
      </c>
      <c r="DD34" s="107">
        <f t="shared" si="19"/>
        <v>0.64599999999999991</v>
      </c>
      <c r="DE34" s="107">
        <f t="shared" si="11"/>
        <v>1.1332</v>
      </c>
      <c r="DF34" s="107">
        <f t="shared" si="20"/>
        <v>0.52539999999999998</v>
      </c>
      <c r="DG34" s="107">
        <f t="shared" si="21"/>
        <v>4.6199999999999998E-2</v>
      </c>
      <c r="DH34" s="107">
        <f t="shared" si="22"/>
        <v>0.77769999999999995</v>
      </c>
      <c r="DI34" s="107"/>
      <c r="DJ34" s="107"/>
      <c r="DK34" s="107"/>
      <c r="DL34" s="107"/>
      <c r="DM34" s="107"/>
      <c r="DN34" s="107"/>
      <c r="DO34" s="107"/>
      <c r="DP34" s="107"/>
      <c r="DQ34">
        <f t="shared" si="26"/>
        <v>0.20280000000000001</v>
      </c>
      <c r="DR34">
        <f t="shared" si="27"/>
        <v>0.24960000000000002</v>
      </c>
      <c r="DS34">
        <f t="shared" si="42"/>
        <v>4.4999999999999998E-2</v>
      </c>
      <c r="DT34">
        <f t="shared" si="43"/>
        <v>5.3999999999999992E-2</v>
      </c>
      <c r="DU34"/>
      <c r="DV34"/>
      <c r="DW34" s="54">
        <f t="shared" si="45"/>
        <v>0</v>
      </c>
      <c r="DX34" s="33"/>
      <c r="DY34"/>
      <c r="DZ34"/>
      <c r="EA34" s="142"/>
      <c r="EB34" s="36">
        <f t="shared" si="29"/>
        <v>0</v>
      </c>
      <c r="EC34"/>
      <c r="ED34"/>
      <c r="EE34"/>
      <c r="EF34"/>
      <c r="EG34" s="390">
        <v>0.2</v>
      </c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 s="48">
        <f t="shared" si="30"/>
        <v>0.46680672268907564</v>
      </c>
      <c r="FN34" s="48">
        <f t="shared" si="31"/>
        <v>0.31692677070828335</v>
      </c>
      <c r="FO34" s="142">
        <f t="shared" si="32"/>
        <v>1.4729166666666664</v>
      </c>
      <c r="FP34" s="142">
        <f t="shared" si="33"/>
        <v>2.7731092436974789E-2</v>
      </c>
      <c r="FQ34" s="180">
        <f t="shared" si="34"/>
        <v>9.5802185163887291E-2</v>
      </c>
    </row>
    <row r="35" spans="1:173" x14ac:dyDescent="0.15">
      <c r="A35" s="134">
        <v>26</v>
      </c>
      <c r="B35" t="s">
        <v>239</v>
      </c>
      <c r="C35">
        <v>4865</v>
      </c>
      <c r="D35">
        <v>4133</v>
      </c>
      <c r="E35">
        <v>3737</v>
      </c>
      <c r="F35">
        <v>2464</v>
      </c>
      <c r="H35">
        <v>90.04</v>
      </c>
      <c r="I35">
        <v>58.25</v>
      </c>
      <c r="J35">
        <v>0.7</v>
      </c>
      <c r="K35">
        <v>4.74</v>
      </c>
      <c r="L35">
        <v>0.63</v>
      </c>
      <c r="M35">
        <v>1.46</v>
      </c>
      <c r="N35">
        <v>0</v>
      </c>
      <c r="O35">
        <v>0</v>
      </c>
      <c r="P35">
        <v>0</v>
      </c>
      <c r="Q35">
        <v>0</v>
      </c>
      <c r="R35">
        <v>0</v>
      </c>
      <c r="T35">
        <v>17.93</v>
      </c>
      <c r="U35">
        <v>1.57</v>
      </c>
      <c r="V35">
        <v>7.08</v>
      </c>
      <c r="AB35">
        <v>7.6600000000000037</v>
      </c>
      <c r="AC35">
        <v>97</v>
      </c>
      <c r="AD35" s="136">
        <v>45.81110000000001</v>
      </c>
      <c r="AF35">
        <v>1.66</v>
      </c>
      <c r="AG35">
        <v>1.32</v>
      </c>
      <c r="AH35">
        <v>2.23</v>
      </c>
      <c r="AI35">
        <v>9.82</v>
      </c>
      <c r="AJ35">
        <v>0.93</v>
      </c>
      <c r="AK35">
        <v>1.21</v>
      </c>
      <c r="AL35">
        <v>3.52</v>
      </c>
      <c r="AM35">
        <v>1.81</v>
      </c>
      <c r="AN35">
        <v>0.27</v>
      </c>
      <c r="AO35">
        <v>2.42</v>
      </c>
      <c r="AR35">
        <v>1.01</v>
      </c>
      <c r="AW35">
        <v>2.86</v>
      </c>
      <c r="AY35">
        <v>75</v>
      </c>
      <c r="AZ35">
        <v>91</v>
      </c>
      <c r="BA35">
        <v>87</v>
      </c>
      <c r="BB35">
        <v>93</v>
      </c>
      <c r="BC35">
        <v>96</v>
      </c>
      <c r="BD35">
        <v>81</v>
      </c>
      <c r="BE35">
        <v>93</v>
      </c>
      <c r="BF35">
        <v>94</v>
      </c>
      <c r="BG35">
        <v>87</v>
      </c>
      <c r="BH35">
        <v>77</v>
      </c>
      <c r="BI35">
        <v>91</v>
      </c>
      <c r="BL35">
        <v>88</v>
      </c>
      <c r="BQ35">
        <v>94</v>
      </c>
      <c r="BS35">
        <v>0.03</v>
      </c>
      <c r="BT35">
        <v>0.06</v>
      </c>
      <c r="BU35">
        <v>0.18</v>
      </c>
      <c r="BV35">
        <v>0.09</v>
      </c>
      <c r="BW35">
        <v>0.02</v>
      </c>
      <c r="BX35">
        <v>0.49</v>
      </c>
      <c r="BY35">
        <v>1</v>
      </c>
      <c r="CB35">
        <v>38</v>
      </c>
      <c r="CC35">
        <v>47</v>
      </c>
      <c r="CD35" s="139">
        <v>50</v>
      </c>
      <c r="CE35" s="139">
        <f t="shared" si="46"/>
        <v>60</v>
      </c>
      <c r="CF35" s="4">
        <v>7.4302000000000028</v>
      </c>
      <c r="CH35" s="107">
        <v>41.94</v>
      </c>
      <c r="CI35" s="107">
        <v>1.4607999999999999</v>
      </c>
      <c r="CJ35" s="107">
        <v>1.1352000000000002</v>
      </c>
      <c r="CK35" s="107">
        <v>2.0293000000000001</v>
      </c>
      <c r="CL35" s="107">
        <v>9.4272000000000009</v>
      </c>
      <c r="CM35" s="107">
        <v>0.71609999999999996</v>
      </c>
      <c r="CN35" s="107">
        <v>1.1132</v>
      </c>
      <c r="CO35" s="107">
        <v>1.9818</v>
      </c>
      <c r="CP35" s="107">
        <v>3.2736000000000001</v>
      </c>
      <c r="CQ35" s="107">
        <v>5.9333999999999998</v>
      </c>
      <c r="CR35" s="107">
        <v>1.5204</v>
      </c>
      <c r="CS35" s="107">
        <v>0.16470000000000001</v>
      </c>
      <c r="CT35" s="107">
        <v>2.1537999999999999</v>
      </c>
      <c r="CU35" s="107"/>
      <c r="CV35" s="107">
        <v>43.6875</v>
      </c>
      <c r="CW35" s="107">
        <f t="shared" si="35"/>
        <v>1.5105999999999999</v>
      </c>
      <c r="CX35" s="107">
        <f t="shared" si="36"/>
        <v>1.1484000000000001</v>
      </c>
      <c r="CY35" s="107">
        <f t="shared" si="37"/>
        <v>2.0739000000000001</v>
      </c>
      <c r="CZ35" s="107">
        <f t="shared" si="38"/>
        <v>9.4272000000000009</v>
      </c>
      <c r="DA35" s="107">
        <f t="shared" si="39"/>
        <v>0.75329999999999997</v>
      </c>
      <c r="DB35" s="107">
        <f t="shared" si="40"/>
        <v>1.1253</v>
      </c>
      <c r="DC35" s="107">
        <f t="shared" si="41"/>
        <v>2.0141</v>
      </c>
      <c r="DD35" s="107">
        <f t="shared" si="19"/>
        <v>3.3087999999999997</v>
      </c>
      <c r="DE35" s="107">
        <f t="shared" si="11"/>
        <v>5.9971999999999994</v>
      </c>
      <c r="DF35" s="107">
        <f t="shared" si="20"/>
        <v>1.5747</v>
      </c>
      <c r="DG35" s="107">
        <f t="shared" si="21"/>
        <v>0.20790000000000003</v>
      </c>
      <c r="DH35" s="107">
        <f t="shared" si="22"/>
        <v>2.2021999999999999</v>
      </c>
      <c r="DI35" s="107"/>
      <c r="DJ35" s="107"/>
      <c r="DK35" s="107"/>
      <c r="DL35" s="107"/>
      <c r="DM35" s="107"/>
      <c r="DN35" s="107"/>
      <c r="DO35" s="107"/>
      <c r="DP35" s="107"/>
      <c r="DQ35">
        <f t="shared" si="26"/>
        <v>0.1862</v>
      </c>
      <c r="DR35">
        <f t="shared" si="27"/>
        <v>0.2303</v>
      </c>
      <c r="DS35">
        <f t="shared" si="42"/>
        <v>1.4999999999999999E-2</v>
      </c>
      <c r="DT35">
        <f t="shared" si="43"/>
        <v>1.7999999999999999E-2</v>
      </c>
      <c r="DU35"/>
      <c r="DV35" s="32"/>
      <c r="DW35" s="54">
        <f t="shared" si="45"/>
        <v>0</v>
      </c>
      <c r="DX35" s="33"/>
      <c r="DY35" s="34"/>
      <c r="DZ35" s="34"/>
      <c r="EA35" s="35"/>
      <c r="EB35" s="36">
        <f t="shared" si="29"/>
        <v>0</v>
      </c>
      <c r="EC35" s="37"/>
      <c r="ED35" s="80"/>
      <c r="EE35" s="81"/>
      <c r="EF35" s="81"/>
      <c r="EG35" s="390">
        <v>0.47</v>
      </c>
      <c r="EH35" s="70"/>
      <c r="EI35" s="38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48">
        <f t="shared" si="30"/>
        <v>0.2336006449422946</v>
      </c>
      <c r="FN35" s="48">
        <f t="shared" si="31"/>
        <v>0.21999108961303462</v>
      </c>
      <c r="FO35" s="142">
        <f t="shared" si="32"/>
        <v>1.0618641207387047</v>
      </c>
      <c r="FP35" s="142">
        <f t="shared" si="33"/>
        <v>2.2053207739307537E-2</v>
      </c>
      <c r="FQ35" s="180">
        <f t="shared" si="34"/>
        <v>0.1618403433476395</v>
      </c>
    </row>
    <row r="36" spans="1:173" x14ac:dyDescent="0.15">
      <c r="A36" s="134">
        <v>27</v>
      </c>
      <c r="B36" t="s">
        <v>240</v>
      </c>
      <c r="C36">
        <v>4145</v>
      </c>
      <c r="D36">
        <v>3355</v>
      </c>
      <c r="E36">
        <v>3293</v>
      </c>
      <c r="F36">
        <v>2574</v>
      </c>
      <c r="H36">
        <v>87.47</v>
      </c>
      <c r="I36">
        <v>9.1199999999999992</v>
      </c>
      <c r="J36">
        <v>3.19</v>
      </c>
      <c r="K36">
        <v>7.4</v>
      </c>
      <c r="M36">
        <v>2.34</v>
      </c>
      <c r="N36">
        <v>0</v>
      </c>
      <c r="O36">
        <v>0</v>
      </c>
      <c r="P36">
        <v>0</v>
      </c>
      <c r="Q36">
        <v>0</v>
      </c>
      <c r="R36">
        <v>0</v>
      </c>
      <c r="T36">
        <v>47.58</v>
      </c>
      <c r="U36">
        <v>14.3</v>
      </c>
      <c r="V36">
        <v>4.51</v>
      </c>
      <c r="X36">
        <v>10.11</v>
      </c>
      <c r="AB36">
        <v>21.029999999999987</v>
      </c>
      <c r="AC36">
        <v>43</v>
      </c>
      <c r="AD36" s="136">
        <v>40.85629999999999</v>
      </c>
      <c r="AF36">
        <v>0.56000000000000005</v>
      </c>
      <c r="AG36">
        <v>0.28000000000000003</v>
      </c>
      <c r="AH36">
        <v>0.36</v>
      </c>
      <c r="AI36">
        <v>0.98</v>
      </c>
      <c r="AJ36">
        <v>0.38</v>
      </c>
      <c r="AK36">
        <v>0.18</v>
      </c>
      <c r="AL36">
        <v>0.43</v>
      </c>
      <c r="AM36">
        <v>0.4</v>
      </c>
      <c r="AN36">
        <v>0.1</v>
      </c>
      <c r="AO36">
        <v>0.52</v>
      </c>
      <c r="AR36">
        <v>0.18</v>
      </c>
      <c r="AW36">
        <v>0.4</v>
      </c>
      <c r="AY36" s="23">
        <v>80.083333333333329</v>
      </c>
      <c r="AZ36">
        <v>87</v>
      </c>
      <c r="BA36">
        <v>80</v>
      </c>
      <c r="BB36">
        <v>81</v>
      </c>
      <c r="BC36">
        <v>86</v>
      </c>
      <c r="BD36">
        <v>71</v>
      </c>
      <c r="BE36">
        <v>87</v>
      </c>
      <c r="BF36">
        <v>86</v>
      </c>
      <c r="BG36">
        <v>73</v>
      </c>
      <c r="BH36">
        <v>68</v>
      </c>
      <c r="BI36">
        <v>80</v>
      </c>
      <c r="BL36">
        <v>74</v>
      </c>
      <c r="BQ36">
        <v>88</v>
      </c>
      <c r="BS36">
        <v>0.28999999999999998</v>
      </c>
      <c r="BT36">
        <v>7.0000000000000007E-2</v>
      </c>
      <c r="BU36">
        <v>0.61</v>
      </c>
      <c r="BV36">
        <v>0.24</v>
      </c>
      <c r="BW36">
        <v>0.08</v>
      </c>
      <c r="BX36">
        <v>0.73</v>
      </c>
      <c r="BY36">
        <v>0.03</v>
      </c>
      <c r="CA36">
        <v>0.49</v>
      </c>
      <c r="CB36">
        <v>26</v>
      </c>
      <c r="CC36">
        <v>34</v>
      </c>
      <c r="CD36" s="139">
        <v>50</v>
      </c>
      <c r="CE36" s="139">
        <f t="shared" si="46"/>
        <v>60</v>
      </c>
      <c r="CF36" s="4">
        <v>9.0428999999999942</v>
      </c>
      <c r="CH36" s="107">
        <v>0</v>
      </c>
      <c r="CI36" s="107">
        <v>0</v>
      </c>
      <c r="CJ36" s="107">
        <v>0</v>
      </c>
      <c r="CK36" s="107">
        <v>0</v>
      </c>
      <c r="CL36" s="107">
        <v>0</v>
      </c>
      <c r="CM36" s="107">
        <v>0</v>
      </c>
      <c r="CN36" s="107">
        <v>0</v>
      </c>
      <c r="CO36" s="107">
        <v>0</v>
      </c>
      <c r="CP36" s="107">
        <v>0</v>
      </c>
      <c r="CQ36" s="107">
        <v>0</v>
      </c>
      <c r="CR36" s="107">
        <v>0</v>
      </c>
      <c r="CS36" s="107">
        <v>0</v>
      </c>
      <c r="CT36" s="107">
        <v>0</v>
      </c>
      <c r="CU36" s="107"/>
      <c r="CV36" s="107">
        <v>7.3035999999999994</v>
      </c>
      <c r="CW36" s="107">
        <f t="shared" si="35"/>
        <v>0.48720000000000008</v>
      </c>
      <c r="CX36" s="107">
        <f t="shared" si="36"/>
        <v>0.22400000000000003</v>
      </c>
      <c r="CY36" s="107">
        <f t="shared" si="37"/>
        <v>0.29160000000000003</v>
      </c>
      <c r="CZ36" s="107">
        <f t="shared" si="38"/>
        <v>0.84279999999999999</v>
      </c>
      <c r="DA36" s="107">
        <f t="shared" si="39"/>
        <v>0.26979999999999998</v>
      </c>
      <c r="DB36" s="107">
        <f t="shared" si="40"/>
        <v>0.15659999999999999</v>
      </c>
      <c r="DC36" s="107">
        <f t="shared" si="41"/>
        <v>0.2898</v>
      </c>
      <c r="DD36" s="107">
        <f t="shared" si="19"/>
        <v>0.36979999999999996</v>
      </c>
      <c r="DE36" s="107">
        <f t="shared" si="11"/>
        <v>0.7218</v>
      </c>
      <c r="DF36" s="107">
        <f t="shared" si="20"/>
        <v>0.29200000000000004</v>
      </c>
      <c r="DG36" s="107">
        <f t="shared" si="21"/>
        <v>6.8000000000000005E-2</v>
      </c>
      <c r="DH36" s="107">
        <f t="shared" si="22"/>
        <v>0.41600000000000004</v>
      </c>
      <c r="DI36" s="107"/>
      <c r="DJ36" s="107"/>
      <c r="DK36" s="107"/>
      <c r="DL36" s="107"/>
      <c r="DM36" s="107"/>
      <c r="DN36" s="107"/>
      <c r="DO36" s="107"/>
      <c r="DP36" s="107"/>
      <c r="DQ36">
        <f t="shared" si="26"/>
        <v>0.1898</v>
      </c>
      <c r="DR36">
        <f t="shared" si="27"/>
        <v>0.2482</v>
      </c>
      <c r="DS36">
        <f t="shared" si="42"/>
        <v>0.14499999999999999</v>
      </c>
      <c r="DT36">
        <f t="shared" si="43"/>
        <v>0.17399999999999999</v>
      </c>
      <c r="DU36"/>
      <c r="DV36" s="32"/>
      <c r="DW36" s="54">
        <f t="shared" si="45"/>
        <v>90</v>
      </c>
      <c r="DX36" s="33">
        <v>4.4999999999999998E-2</v>
      </c>
      <c r="DY36" s="34">
        <v>2714</v>
      </c>
      <c r="DZ36" s="34">
        <v>2389</v>
      </c>
      <c r="EA36" s="42">
        <v>0.14000000000000001</v>
      </c>
      <c r="EB36" s="36">
        <f t="shared" si="29"/>
        <v>0.10220000000000001</v>
      </c>
      <c r="EC36" s="37">
        <v>2.97</v>
      </c>
      <c r="ED36" s="80">
        <v>0</v>
      </c>
      <c r="EE36" s="81">
        <v>0</v>
      </c>
      <c r="EF36" s="81"/>
      <c r="EG36" s="390">
        <v>0.57999999999999996</v>
      </c>
      <c r="EH36" s="126">
        <f>125*K36/10</f>
        <v>92.5</v>
      </c>
      <c r="EI36" s="38">
        <f>IF(AR36="","",AR36*BL36)</f>
        <v>13.32</v>
      </c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48">
        <f t="shared" si="30"/>
        <v>0.49359278595159001</v>
      </c>
      <c r="FN36" s="48">
        <f t="shared" si="31"/>
        <v>0.34598955861414338</v>
      </c>
      <c r="FO36" s="142">
        <f t="shared" si="32"/>
        <v>1.4266117969821674</v>
      </c>
      <c r="FP36" s="142">
        <f t="shared" si="33"/>
        <v>8.0683436165163741E-2</v>
      </c>
      <c r="FQ36" s="180">
        <f t="shared" si="34"/>
        <v>9.241228070175439E-2</v>
      </c>
    </row>
    <row r="37" spans="1:173" x14ac:dyDescent="0.15">
      <c r="A37" s="134">
        <v>28</v>
      </c>
      <c r="B37" t="s">
        <v>241</v>
      </c>
      <c r="C37">
        <v>5248</v>
      </c>
      <c r="D37">
        <v>3207</v>
      </c>
      <c r="E37">
        <v>3045</v>
      </c>
      <c r="F37">
        <v>1970</v>
      </c>
      <c r="H37">
        <v>92.56</v>
      </c>
      <c r="I37">
        <v>23.77</v>
      </c>
      <c r="K37">
        <v>16.510000000000002</v>
      </c>
      <c r="M37">
        <v>4</v>
      </c>
      <c r="T37">
        <v>2.2999999999999998</v>
      </c>
      <c r="U37">
        <v>51.04</v>
      </c>
      <c r="V37">
        <v>38.590000000000003</v>
      </c>
      <c r="W37">
        <v>10.75</v>
      </c>
      <c r="AB37">
        <v>45.980000000000004</v>
      </c>
      <c r="AC37">
        <v>31</v>
      </c>
      <c r="AD37" s="136">
        <v>46.848700000000008</v>
      </c>
      <c r="AF37">
        <v>2.41</v>
      </c>
      <c r="AG37">
        <v>0.61</v>
      </c>
      <c r="AH37">
        <v>0.7</v>
      </c>
      <c r="AI37">
        <v>1.18</v>
      </c>
      <c r="AJ37">
        <v>0.87</v>
      </c>
      <c r="AK37">
        <v>0.33</v>
      </c>
      <c r="AL37">
        <v>1.17</v>
      </c>
      <c r="AM37">
        <v>0.67</v>
      </c>
      <c r="AN37">
        <v>0.25</v>
      </c>
      <c r="AO37">
        <v>0.98</v>
      </c>
      <c r="AR37">
        <v>0.33</v>
      </c>
      <c r="AW37">
        <v>0.56000000000000005</v>
      </c>
      <c r="BS37">
        <v>0.15</v>
      </c>
      <c r="BX37">
        <v>0.65</v>
      </c>
      <c r="CB37">
        <v>31</v>
      </c>
      <c r="CC37">
        <v>36</v>
      </c>
      <c r="CF37" s="4">
        <v>14.253800000000002</v>
      </c>
      <c r="CH37" s="107">
        <v>17.3521</v>
      </c>
      <c r="CI37" s="107">
        <v>2.0967000000000002</v>
      </c>
      <c r="CJ37" s="107">
        <v>0.43920000000000003</v>
      </c>
      <c r="CK37" s="107">
        <v>0.46899999999999997</v>
      </c>
      <c r="CL37" s="107">
        <v>0.82599999999999996</v>
      </c>
      <c r="CM37" s="107">
        <v>0.51329999999999998</v>
      </c>
      <c r="CN37" s="107">
        <v>0.23100000000000001</v>
      </c>
      <c r="CO37" s="107">
        <v>0.47189999999999999</v>
      </c>
      <c r="CP37" s="107">
        <v>0.9242999999999999</v>
      </c>
      <c r="CQ37" s="107">
        <v>1.3331</v>
      </c>
      <c r="CR37" s="107">
        <v>0.42880000000000001</v>
      </c>
      <c r="CS37" s="107">
        <v>0.17</v>
      </c>
      <c r="CT37" s="107">
        <v>0.67620000000000002</v>
      </c>
      <c r="CU37" s="107"/>
      <c r="CV37" s="107">
        <v>0</v>
      </c>
      <c r="CW37" s="107">
        <f t="shared" si="35"/>
        <v>0</v>
      </c>
      <c r="CX37" s="107">
        <f t="shared" si="36"/>
        <v>0</v>
      </c>
      <c r="CY37" s="107">
        <f t="shared" si="37"/>
        <v>0</v>
      </c>
      <c r="CZ37" s="107">
        <f t="shared" si="38"/>
        <v>0</v>
      </c>
      <c r="DA37" s="107">
        <f t="shared" si="39"/>
        <v>0</v>
      </c>
      <c r="DB37" s="107">
        <f t="shared" si="40"/>
        <v>0</v>
      </c>
      <c r="DC37" s="107">
        <f t="shared" si="41"/>
        <v>0</v>
      </c>
      <c r="DD37" s="107">
        <f t="shared" si="19"/>
        <v>0</v>
      </c>
      <c r="DE37" s="107">
        <f t="shared" si="11"/>
        <v>0</v>
      </c>
      <c r="DF37" s="107">
        <f t="shared" si="20"/>
        <v>0</v>
      </c>
      <c r="DG37" s="107">
        <f t="shared" si="21"/>
        <v>0</v>
      </c>
      <c r="DH37" s="107">
        <f t="shared" si="22"/>
        <v>0</v>
      </c>
      <c r="DI37" s="107"/>
      <c r="DJ37" s="107"/>
      <c r="DK37" s="107"/>
      <c r="DL37" s="107"/>
      <c r="DM37" s="107"/>
      <c r="DN37" s="107"/>
      <c r="DO37" s="107"/>
      <c r="DP37" s="107"/>
      <c r="DQ37">
        <f t="shared" si="26"/>
        <v>0.20150000000000001</v>
      </c>
      <c r="DR37">
        <f t="shared" si="27"/>
        <v>0.23400000000000001</v>
      </c>
      <c r="DS37">
        <f t="shared" si="42"/>
        <v>0</v>
      </c>
      <c r="DT37">
        <f t="shared" si="43"/>
        <v>0</v>
      </c>
      <c r="DU37"/>
      <c r="DV37" s="32"/>
      <c r="DW37" s="54">
        <f t="shared" si="45"/>
        <v>0</v>
      </c>
      <c r="DX37" s="33"/>
      <c r="DY37" s="34"/>
      <c r="DZ37" s="34"/>
      <c r="EA37" s="45"/>
      <c r="EB37" s="36">
        <f t="shared" si="29"/>
        <v>0</v>
      </c>
      <c r="EC37" s="37"/>
      <c r="ED37" s="80"/>
      <c r="EE37" s="81"/>
      <c r="EF37" s="81"/>
      <c r="EG37" s="390">
        <v>0.51</v>
      </c>
      <c r="EH37" s="70"/>
      <c r="EI37" s="38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48" t="e">
        <f t="shared" si="30"/>
        <v>#DIV/0!</v>
      </c>
      <c r="FN37" s="48" t="e">
        <f t="shared" si="31"/>
        <v>#DIV/0!</v>
      </c>
      <c r="FO37" s="142" t="e">
        <f t="shared" si="32"/>
        <v>#DIV/0!</v>
      </c>
      <c r="FP37" s="142" t="e">
        <f t="shared" si="33"/>
        <v>#DIV/0!</v>
      </c>
      <c r="FQ37" s="180">
        <f t="shared" si="34"/>
        <v>0</v>
      </c>
    </row>
    <row r="38" spans="1:173" x14ac:dyDescent="0.15">
      <c r="A38" s="134">
        <v>29</v>
      </c>
      <c r="B38" t="s">
        <v>242</v>
      </c>
      <c r="C38">
        <v>4383</v>
      </c>
      <c r="D38">
        <v>2912</v>
      </c>
      <c r="E38">
        <v>2645</v>
      </c>
      <c r="F38">
        <v>1624</v>
      </c>
      <c r="H38">
        <v>90.69</v>
      </c>
      <c r="I38">
        <v>39.22</v>
      </c>
      <c r="J38">
        <v>13.96</v>
      </c>
      <c r="K38">
        <v>5.5</v>
      </c>
      <c r="M38">
        <v>6.39</v>
      </c>
      <c r="N38">
        <v>0</v>
      </c>
      <c r="O38">
        <v>0</v>
      </c>
      <c r="P38">
        <v>0</v>
      </c>
      <c r="Q38">
        <v>0</v>
      </c>
      <c r="R38">
        <v>0</v>
      </c>
      <c r="T38">
        <v>1.95</v>
      </c>
      <c r="U38">
        <v>25.15</v>
      </c>
      <c r="V38">
        <v>17.920000000000002</v>
      </c>
      <c r="AB38">
        <v>37.629999999999995</v>
      </c>
      <c r="AC38">
        <v>31</v>
      </c>
      <c r="AD38" s="136">
        <v>42.758099999999999</v>
      </c>
      <c r="AF38">
        <v>4.04</v>
      </c>
      <c r="AG38">
        <v>1.1100000000000001</v>
      </c>
      <c r="AH38">
        <v>1.21</v>
      </c>
      <c r="AI38">
        <v>2.1800000000000002</v>
      </c>
      <c r="AJ38">
        <v>1.5</v>
      </c>
      <c r="AK38">
        <v>0.51</v>
      </c>
      <c r="AL38">
        <v>1.98</v>
      </c>
      <c r="AM38">
        <v>1.36</v>
      </c>
      <c r="AN38">
        <v>0.53</v>
      </c>
      <c r="AO38">
        <v>1.86</v>
      </c>
      <c r="AR38">
        <v>0.82</v>
      </c>
      <c r="AW38">
        <v>0.98</v>
      </c>
      <c r="AY38">
        <v>77</v>
      </c>
      <c r="AZ38">
        <v>88</v>
      </c>
      <c r="BA38">
        <v>74</v>
      </c>
      <c r="BB38">
        <v>70</v>
      </c>
      <c r="BC38">
        <v>73</v>
      </c>
      <c r="BD38">
        <v>63</v>
      </c>
      <c r="BE38">
        <v>73</v>
      </c>
      <c r="BF38">
        <v>81</v>
      </c>
      <c r="BG38">
        <v>68</v>
      </c>
      <c r="BH38">
        <v>71</v>
      </c>
      <c r="BI38">
        <v>73</v>
      </c>
      <c r="BL38">
        <v>76</v>
      </c>
      <c r="BQ38">
        <v>76</v>
      </c>
      <c r="BS38">
        <v>0.25</v>
      </c>
      <c r="BT38">
        <v>0.05</v>
      </c>
      <c r="BU38">
        <v>1.4</v>
      </c>
      <c r="BV38">
        <v>0.5</v>
      </c>
      <c r="BW38">
        <v>0.04</v>
      </c>
      <c r="BX38">
        <v>0.98</v>
      </c>
      <c r="BY38">
        <v>0.31</v>
      </c>
      <c r="CB38">
        <v>31</v>
      </c>
      <c r="CC38">
        <v>36</v>
      </c>
      <c r="CF38" s="4">
        <v>11.665299999999997</v>
      </c>
      <c r="CH38" s="107">
        <v>28.630600000000001</v>
      </c>
      <c r="CI38" s="107">
        <v>3.5148000000000001</v>
      </c>
      <c r="CJ38" s="107">
        <v>0.79920000000000002</v>
      </c>
      <c r="CK38" s="107">
        <v>0.81069999999999998</v>
      </c>
      <c r="CL38" s="107">
        <v>1.5260000000000002</v>
      </c>
      <c r="CM38" s="107">
        <v>0.88500000000000001</v>
      </c>
      <c r="CN38" s="107">
        <v>0.35700000000000004</v>
      </c>
      <c r="CO38" s="107">
        <v>0.9556</v>
      </c>
      <c r="CP38" s="107">
        <v>1.5641999999999998</v>
      </c>
      <c r="CQ38" s="107">
        <v>2.2795999999999998</v>
      </c>
      <c r="CR38" s="107">
        <v>0.87040000000000006</v>
      </c>
      <c r="CS38" s="107">
        <v>0.3604</v>
      </c>
      <c r="CT38" s="107">
        <v>1.2834000000000001</v>
      </c>
      <c r="CU38" s="107"/>
      <c r="CV38" s="107">
        <v>30.199400000000001</v>
      </c>
      <c r="CW38" s="107">
        <f t="shared" ref="CW38:CW101" si="56">AF38*AZ38/100</f>
        <v>3.5551999999999997</v>
      </c>
      <c r="CX38" s="107">
        <f t="shared" ref="CX38:CX101" si="57">AG38*BA38/100</f>
        <v>0.82140000000000002</v>
      </c>
      <c r="CY38" s="107">
        <f t="shared" ref="CY38:CY101" si="58">AH38*BB38/100</f>
        <v>0.84699999999999998</v>
      </c>
      <c r="CZ38" s="107">
        <f t="shared" ref="CZ38:CZ101" si="59">AI38*BC38/100</f>
        <v>1.5914000000000001</v>
      </c>
      <c r="DA38" s="107">
        <f t="shared" ref="DA38:DA101" si="60">AJ38*BD38/100</f>
        <v>0.94499999999999995</v>
      </c>
      <c r="DB38" s="107">
        <f t="shared" ref="DB38:DB101" si="61">AK38*BE38/100</f>
        <v>0.37230000000000002</v>
      </c>
      <c r="DC38" s="107">
        <f t="shared" si="41"/>
        <v>0.99549999999999994</v>
      </c>
      <c r="DD38" s="107">
        <f t="shared" si="19"/>
        <v>1.6037999999999999</v>
      </c>
      <c r="DE38" s="107">
        <f t="shared" si="11"/>
        <v>2.3485999999999998</v>
      </c>
      <c r="DF38" s="107">
        <f t="shared" si="20"/>
        <v>0.92480000000000007</v>
      </c>
      <c r="DG38" s="107">
        <f t="shared" si="21"/>
        <v>0.37630000000000002</v>
      </c>
      <c r="DH38" s="107">
        <f t="shared" si="22"/>
        <v>1.3578000000000001</v>
      </c>
      <c r="DI38" s="107"/>
      <c r="DJ38" s="107"/>
      <c r="DK38" s="107"/>
      <c r="DL38" s="107"/>
      <c r="DM38" s="107"/>
      <c r="DN38" s="107"/>
      <c r="DO38" s="107"/>
      <c r="DP38" s="107"/>
      <c r="DQ38">
        <f t="shared" si="26"/>
        <v>0.30380000000000001</v>
      </c>
      <c r="DR38">
        <f t="shared" si="27"/>
        <v>0.3528</v>
      </c>
      <c r="DS38">
        <f t="shared" si="42"/>
        <v>0</v>
      </c>
      <c r="DT38">
        <f t="shared" si="43"/>
        <v>0</v>
      </c>
      <c r="DU38"/>
      <c r="DV38" s="39"/>
      <c r="DW38" s="54">
        <f t="shared" si="45"/>
        <v>0</v>
      </c>
      <c r="DX38" s="33"/>
      <c r="DY38" s="34"/>
      <c r="DZ38" s="34"/>
      <c r="EA38" s="35"/>
      <c r="EB38" s="36">
        <f t="shared" si="29"/>
        <v>0</v>
      </c>
      <c r="EC38" s="37"/>
      <c r="ED38" s="80"/>
      <c r="EE38" s="81"/>
      <c r="EF38" s="81"/>
      <c r="EG38" s="390">
        <v>0.75</v>
      </c>
      <c r="EH38" s="70"/>
      <c r="EI38" s="38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48">
        <f t="shared" si="30"/>
        <v>0.85321100917431192</v>
      </c>
      <c r="FN38" s="48">
        <f t="shared" si="31"/>
        <v>0.53223576724896315</v>
      </c>
      <c r="FO38" s="142">
        <f t="shared" si="32"/>
        <v>1.6030696576151124</v>
      </c>
      <c r="FP38" s="142">
        <f t="shared" si="33"/>
        <v>0.23645846424531858</v>
      </c>
      <c r="FQ38" s="180">
        <f t="shared" si="34"/>
        <v>4.0576236613972465E-2</v>
      </c>
    </row>
    <row r="39" spans="1:173" ht="12.75" customHeight="1" x14ac:dyDescent="0.15">
      <c r="A39" s="134">
        <v>30</v>
      </c>
      <c r="B39" t="s">
        <v>243</v>
      </c>
      <c r="C39">
        <v>5467</v>
      </c>
      <c r="D39">
        <v>3400</v>
      </c>
      <c r="E39">
        <v>2850</v>
      </c>
      <c r="F39">
        <v>1740</v>
      </c>
      <c r="H39">
        <v>94.24</v>
      </c>
      <c r="I39">
        <v>80.900000000000006</v>
      </c>
      <c r="J39">
        <v>0.32</v>
      </c>
      <c r="K39">
        <v>5.97</v>
      </c>
      <c r="M39">
        <v>5.08</v>
      </c>
      <c r="T39">
        <v>0</v>
      </c>
      <c r="V39">
        <v>0</v>
      </c>
      <c r="AB39">
        <v>2.2899999999999894</v>
      </c>
      <c r="AC39">
        <v>0</v>
      </c>
      <c r="AD39" s="136">
        <v>48.444699999999997</v>
      </c>
      <c r="AF39">
        <v>5.63</v>
      </c>
      <c r="AG39">
        <v>0.82</v>
      </c>
      <c r="AH39">
        <v>3.63</v>
      </c>
      <c r="AI39">
        <v>6.59</v>
      </c>
      <c r="AJ39">
        <v>2</v>
      </c>
      <c r="AK39">
        <v>0.59</v>
      </c>
      <c r="AL39">
        <v>3.95</v>
      </c>
      <c r="AM39">
        <v>3.72</v>
      </c>
      <c r="AN39">
        <v>0.6</v>
      </c>
      <c r="AO39">
        <v>5.75</v>
      </c>
      <c r="AR39">
        <v>4.32</v>
      </c>
      <c r="AW39">
        <v>2.12</v>
      </c>
      <c r="AY39">
        <v>68</v>
      </c>
      <c r="AZ39">
        <v>81</v>
      </c>
      <c r="BA39">
        <v>56</v>
      </c>
      <c r="BB39">
        <v>76</v>
      </c>
      <c r="BC39">
        <v>77</v>
      </c>
      <c r="BD39">
        <v>56</v>
      </c>
      <c r="BE39">
        <v>73</v>
      </c>
      <c r="BF39">
        <v>79</v>
      </c>
      <c r="BG39">
        <v>71</v>
      </c>
      <c r="BH39">
        <v>63</v>
      </c>
      <c r="BI39">
        <v>75</v>
      </c>
      <c r="BL39">
        <v>73</v>
      </c>
      <c r="BQ39">
        <v>79</v>
      </c>
      <c r="BS39">
        <v>0.41</v>
      </c>
      <c r="BT39">
        <v>0.26</v>
      </c>
      <c r="BU39">
        <v>0.19</v>
      </c>
      <c r="BV39">
        <v>0.2</v>
      </c>
      <c r="BW39">
        <v>0.34</v>
      </c>
      <c r="BX39">
        <v>0.28000000000000003</v>
      </c>
      <c r="BY39">
        <v>1.39</v>
      </c>
      <c r="CB39">
        <v>74</v>
      </c>
      <c r="CC39">
        <v>89</v>
      </c>
      <c r="CD39" s="157">
        <v>76</v>
      </c>
      <c r="CE39" s="157">
        <v>87</v>
      </c>
      <c r="CF39" s="4">
        <v>0</v>
      </c>
      <c r="CH39" s="107">
        <v>60.674999999999997</v>
      </c>
      <c r="CI39" s="107">
        <v>4.5602999999999998</v>
      </c>
      <c r="CJ39" s="107">
        <v>0.44279999999999992</v>
      </c>
      <c r="CK39" s="107">
        <v>2.7225000000000001</v>
      </c>
      <c r="CL39" s="107">
        <v>5.0743</v>
      </c>
      <c r="CM39" s="107">
        <v>1.08</v>
      </c>
      <c r="CN39" s="107">
        <v>0.38350000000000001</v>
      </c>
      <c r="CO39" s="107">
        <v>3.4507000000000003</v>
      </c>
      <c r="CP39" s="107">
        <v>3.0810000000000004</v>
      </c>
      <c r="CQ39" s="107">
        <v>4.6286000000000005</v>
      </c>
      <c r="CR39" s="107">
        <v>2.5668000000000002</v>
      </c>
      <c r="CS39" s="107">
        <v>0.36</v>
      </c>
      <c r="CT39" s="107">
        <v>4.3125</v>
      </c>
      <c r="CU39" s="107"/>
      <c r="CV39" s="107">
        <v>55.012000000000008</v>
      </c>
      <c r="CW39" s="107">
        <f t="shared" si="56"/>
        <v>4.5602999999999998</v>
      </c>
      <c r="CX39" s="107">
        <f t="shared" si="57"/>
        <v>0.45919999999999994</v>
      </c>
      <c r="CY39" s="107">
        <f t="shared" si="58"/>
        <v>2.7587999999999999</v>
      </c>
      <c r="CZ39" s="107">
        <f t="shared" si="59"/>
        <v>5.0743</v>
      </c>
      <c r="DA39" s="107">
        <f t="shared" si="60"/>
        <v>1.1200000000000001</v>
      </c>
      <c r="DB39" s="107">
        <f t="shared" si="61"/>
        <v>0.43070000000000003</v>
      </c>
      <c r="DC39" s="107">
        <f t="shared" si="41"/>
        <v>3.5843000000000003</v>
      </c>
      <c r="DD39" s="107">
        <f t="shared" si="19"/>
        <v>3.1205000000000003</v>
      </c>
      <c r="DE39" s="107">
        <f t="shared" si="11"/>
        <v>4.795300000000001</v>
      </c>
      <c r="DF39" s="107">
        <f t="shared" si="20"/>
        <v>2.6412</v>
      </c>
      <c r="DG39" s="107">
        <f t="shared" si="21"/>
        <v>0.37799999999999995</v>
      </c>
      <c r="DH39" s="107">
        <f t="shared" si="22"/>
        <v>4.3125</v>
      </c>
      <c r="DI39" s="107"/>
      <c r="DJ39" s="107"/>
      <c r="DK39" s="107"/>
      <c r="DL39" s="107"/>
      <c r="DM39" s="107"/>
      <c r="DN39" s="107"/>
      <c r="DO39" s="107"/>
      <c r="DP39" s="107"/>
      <c r="DQ39">
        <f t="shared" si="26"/>
        <v>0.20720000000000002</v>
      </c>
      <c r="DR39">
        <f t="shared" si="27"/>
        <v>0.2492</v>
      </c>
      <c r="DS39">
        <f t="shared" si="42"/>
        <v>0.31159999999999999</v>
      </c>
      <c r="DT39">
        <f t="shared" si="43"/>
        <v>0.35669999999999996</v>
      </c>
      <c r="DU39"/>
      <c r="DV39" s="39"/>
      <c r="DW39" s="54">
        <f t="shared" si="45"/>
        <v>0</v>
      </c>
      <c r="DX39" s="33"/>
      <c r="DY39" s="78"/>
      <c r="DZ39" s="78"/>
      <c r="EA39" s="35"/>
      <c r="EB39" s="36">
        <f t="shared" si="29"/>
        <v>0</v>
      </c>
      <c r="EC39" s="37"/>
      <c r="ED39" s="80"/>
      <c r="EE39" s="81"/>
      <c r="EF39" s="81"/>
      <c r="EG39" s="390"/>
      <c r="EH39" s="70"/>
      <c r="EI39" s="38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48">
        <f t="shared" si="30"/>
        <v>0.84987091815619886</v>
      </c>
      <c r="FN39" s="48">
        <f t="shared" si="31"/>
        <v>0.54368090179926298</v>
      </c>
      <c r="FO39" s="142">
        <f t="shared" si="32"/>
        <v>1.5631796433231839</v>
      </c>
      <c r="FP39" s="142">
        <f t="shared" si="33"/>
        <v>7.4493033521865079E-2</v>
      </c>
      <c r="FQ39" s="180">
        <f t="shared" si="34"/>
        <v>6.2723114956736714E-2</v>
      </c>
    </row>
    <row r="40" spans="1:173" ht="12.75" customHeight="1" x14ac:dyDescent="0.15">
      <c r="A40" s="134">
        <v>31</v>
      </c>
      <c r="B40" t="s">
        <v>244</v>
      </c>
      <c r="C40">
        <v>4496</v>
      </c>
      <c r="D40">
        <v>3958</v>
      </c>
      <c r="E40">
        <v>3528</v>
      </c>
      <c r="F40">
        <v>2351</v>
      </c>
      <c r="H40">
        <v>93.7</v>
      </c>
      <c r="I40">
        <v>63.28</v>
      </c>
      <c r="J40">
        <v>0.24</v>
      </c>
      <c r="K40">
        <v>9.7100000000000009</v>
      </c>
      <c r="L40">
        <v>8.73</v>
      </c>
      <c r="M40">
        <v>16.07</v>
      </c>
      <c r="T40">
        <v>0</v>
      </c>
      <c r="V40">
        <v>0</v>
      </c>
      <c r="AB40">
        <v>4.6400000000000006</v>
      </c>
      <c r="AC40">
        <v>87</v>
      </c>
      <c r="AD40" s="136">
        <v>43.006000000000007</v>
      </c>
      <c r="AF40">
        <v>3.84</v>
      </c>
      <c r="AG40">
        <v>1.44</v>
      </c>
      <c r="AH40">
        <v>2.56</v>
      </c>
      <c r="AI40">
        <v>4.47</v>
      </c>
      <c r="AJ40">
        <v>4.5599999999999996</v>
      </c>
      <c r="AK40">
        <v>1.73</v>
      </c>
      <c r="AL40">
        <v>2.4700000000000002</v>
      </c>
      <c r="AM40">
        <v>2.58</v>
      </c>
      <c r="AN40">
        <v>0.63</v>
      </c>
      <c r="AO40">
        <v>3.06</v>
      </c>
      <c r="AR40">
        <v>0.61</v>
      </c>
      <c r="AW40">
        <v>1.88</v>
      </c>
      <c r="AY40">
        <v>85</v>
      </c>
      <c r="AZ40">
        <v>86</v>
      </c>
      <c r="BA40">
        <v>84</v>
      </c>
      <c r="BB40">
        <v>83</v>
      </c>
      <c r="BC40">
        <v>83</v>
      </c>
      <c r="BD40">
        <v>86</v>
      </c>
      <c r="BE40">
        <v>87</v>
      </c>
      <c r="BF40">
        <v>82</v>
      </c>
      <c r="BG40">
        <v>81</v>
      </c>
      <c r="BH40">
        <v>76</v>
      </c>
      <c r="BI40">
        <v>83</v>
      </c>
      <c r="BL40">
        <v>64</v>
      </c>
      <c r="BQ40">
        <v>74</v>
      </c>
      <c r="BS40">
        <v>4.28</v>
      </c>
      <c r="BT40" s="163">
        <v>0.55000000000000004</v>
      </c>
      <c r="BU40">
        <v>0.62</v>
      </c>
      <c r="BV40">
        <v>0.13</v>
      </c>
      <c r="BW40" s="163">
        <v>0.4</v>
      </c>
      <c r="BX40">
        <v>2.93</v>
      </c>
      <c r="CB40">
        <v>79</v>
      </c>
      <c r="CC40">
        <v>82</v>
      </c>
      <c r="CD40">
        <v>76</v>
      </c>
      <c r="CE40">
        <v>87</v>
      </c>
      <c r="CF40" s="4">
        <v>4.0368000000000004</v>
      </c>
      <c r="CH40" s="107">
        <v>51.889600000000002</v>
      </c>
      <c r="CI40" s="107">
        <v>3.2639999999999998</v>
      </c>
      <c r="CJ40" s="107">
        <v>1.1808000000000001</v>
      </c>
      <c r="CK40" s="107">
        <v>2.0992000000000002</v>
      </c>
      <c r="CL40" s="107">
        <v>3.6653999999999995</v>
      </c>
      <c r="CM40" s="107">
        <v>3.8759999999999994</v>
      </c>
      <c r="CN40" s="107">
        <v>1.4878</v>
      </c>
      <c r="CO40" s="107">
        <v>1.8660000000000001</v>
      </c>
      <c r="CP40" s="107">
        <v>1.9760000000000002</v>
      </c>
      <c r="CQ40" s="107">
        <v>3.3483999999999998</v>
      </c>
      <c r="CR40" s="107">
        <v>2.0124</v>
      </c>
      <c r="CS40" s="107">
        <v>0.45990000000000003</v>
      </c>
      <c r="CT40" s="107">
        <v>2.4786000000000001</v>
      </c>
      <c r="CU40" s="107"/>
      <c r="CV40" s="107">
        <v>53.788000000000004</v>
      </c>
      <c r="CW40" s="107">
        <f t="shared" si="56"/>
        <v>3.3024</v>
      </c>
      <c r="CX40" s="107">
        <f t="shared" si="57"/>
        <v>1.2096</v>
      </c>
      <c r="CY40" s="107">
        <f t="shared" si="58"/>
        <v>2.1248</v>
      </c>
      <c r="CZ40" s="107">
        <f t="shared" si="59"/>
        <v>3.7100999999999997</v>
      </c>
      <c r="DA40" s="107">
        <f t="shared" si="60"/>
        <v>3.9215999999999998</v>
      </c>
      <c r="DB40" s="107">
        <f t="shared" si="61"/>
        <v>1.5050999999999999</v>
      </c>
      <c r="DC40" s="107">
        <f t="shared" si="41"/>
        <v>1.8954999999999997</v>
      </c>
      <c r="DD40" s="107">
        <f t="shared" si="19"/>
        <v>2.0254000000000003</v>
      </c>
      <c r="DE40" s="107">
        <f t="shared" si="11"/>
        <v>3.4166000000000003</v>
      </c>
      <c r="DF40" s="107">
        <f t="shared" si="20"/>
        <v>2.0898000000000003</v>
      </c>
      <c r="DG40" s="107">
        <f t="shared" si="21"/>
        <v>0.4788</v>
      </c>
      <c r="DH40" s="107">
        <f t="shared" si="22"/>
        <v>2.5398000000000001</v>
      </c>
      <c r="DI40" s="107"/>
      <c r="DJ40" s="107"/>
      <c r="DK40" s="107"/>
      <c r="DL40" s="107"/>
      <c r="DM40" s="107"/>
      <c r="DN40" s="107"/>
      <c r="DO40" s="107"/>
      <c r="DP40" s="107"/>
      <c r="DQ40">
        <f t="shared" si="26"/>
        <v>2.3147000000000002</v>
      </c>
      <c r="DR40">
        <f t="shared" si="27"/>
        <v>2.4026000000000001</v>
      </c>
      <c r="DS40">
        <f t="shared" si="42"/>
        <v>3.2528000000000001</v>
      </c>
      <c r="DT40">
        <f t="shared" si="43"/>
        <v>3.7236000000000002</v>
      </c>
      <c r="DU40"/>
      <c r="DV40" s="32"/>
      <c r="DW40" s="54">
        <f t="shared" si="45"/>
        <v>1400</v>
      </c>
      <c r="DX40" s="33">
        <v>0.7</v>
      </c>
      <c r="DY40" s="34">
        <v>2190</v>
      </c>
      <c r="DZ40" s="34">
        <v>2180</v>
      </c>
      <c r="EA40" s="35">
        <v>0.94</v>
      </c>
      <c r="EB40" s="36">
        <f t="shared" si="29"/>
        <v>2.7542</v>
      </c>
      <c r="EC40" s="37">
        <v>0.12</v>
      </c>
      <c r="ED40" s="80">
        <v>0</v>
      </c>
      <c r="EE40" s="81">
        <v>0</v>
      </c>
      <c r="EF40" s="81"/>
      <c r="EG40" s="390"/>
      <c r="EH40" s="126">
        <f>75*K40/10</f>
        <v>72.825000000000017</v>
      </c>
      <c r="EI40" s="38">
        <f>IF(AR40="","",AR40*BL40)</f>
        <v>39.04</v>
      </c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48">
        <f t="shared" si="30"/>
        <v>0.68456375838926176</v>
      </c>
      <c r="FN40" s="48">
        <f t="shared" si="31"/>
        <v>0.5727069351230426</v>
      </c>
      <c r="FO40" s="142">
        <f t="shared" si="32"/>
        <v>1.1953125</v>
      </c>
      <c r="FP40" s="142">
        <f t="shared" si="33"/>
        <v>0.12905312525268861</v>
      </c>
      <c r="FQ40" s="180">
        <f t="shared" si="34"/>
        <v>5.8629898862199742E-2</v>
      </c>
    </row>
    <row r="41" spans="1:173" ht="12.75" customHeight="1" x14ac:dyDescent="0.15">
      <c r="A41" s="134">
        <v>32</v>
      </c>
      <c r="B41" t="s">
        <v>245</v>
      </c>
      <c r="C41">
        <v>6117</v>
      </c>
      <c r="H41">
        <v>92.13</v>
      </c>
      <c r="I41">
        <v>22.53</v>
      </c>
      <c r="J41">
        <v>6</v>
      </c>
      <c r="K41">
        <v>33.770000000000003</v>
      </c>
      <c r="M41">
        <v>3.33</v>
      </c>
      <c r="T41">
        <v>4</v>
      </c>
      <c r="U41">
        <v>39.65</v>
      </c>
      <c r="V41">
        <v>24.85</v>
      </c>
      <c r="AB41">
        <v>28.499999999999993</v>
      </c>
      <c r="AC41">
        <v>60</v>
      </c>
      <c r="AD41" s="136">
        <v>52.191099999999999</v>
      </c>
      <c r="AF41">
        <v>2.2000000000000002</v>
      </c>
      <c r="AG41">
        <v>0.51</v>
      </c>
      <c r="AH41">
        <v>0.95</v>
      </c>
      <c r="AI41">
        <v>1.35</v>
      </c>
      <c r="AJ41">
        <v>0.91</v>
      </c>
      <c r="AK41">
        <v>0.43</v>
      </c>
      <c r="AL41">
        <v>1.08</v>
      </c>
      <c r="AM41">
        <v>0.85</v>
      </c>
      <c r="AO41">
        <v>1.1599999999999999</v>
      </c>
      <c r="AR41">
        <v>0.41</v>
      </c>
      <c r="AY41" s="23">
        <v>81.833333333333329</v>
      </c>
      <c r="BB41">
        <v>77</v>
      </c>
      <c r="BD41">
        <v>84</v>
      </c>
      <c r="BE41">
        <v>85</v>
      </c>
      <c r="BG41">
        <v>82</v>
      </c>
      <c r="BH41">
        <v>86</v>
      </c>
      <c r="BI41">
        <v>77</v>
      </c>
      <c r="BS41">
        <v>0.38</v>
      </c>
      <c r="BX41">
        <v>0.61</v>
      </c>
      <c r="CB41">
        <v>21</v>
      </c>
      <c r="CC41">
        <v>28</v>
      </c>
      <c r="CF41" s="4">
        <v>17.099999999999994</v>
      </c>
      <c r="CH41" s="107">
        <v>0</v>
      </c>
      <c r="CI41" s="107">
        <v>0</v>
      </c>
      <c r="CJ41" s="107">
        <v>0</v>
      </c>
      <c r="CK41" s="107">
        <v>0</v>
      </c>
      <c r="CL41" s="107">
        <v>0</v>
      </c>
      <c r="CM41" s="107">
        <v>0</v>
      </c>
      <c r="CN41" s="107">
        <v>0</v>
      </c>
      <c r="CO41" s="107">
        <v>0</v>
      </c>
      <c r="CP41" s="107">
        <v>0</v>
      </c>
      <c r="CQ41" s="107">
        <v>0</v>
      </c>
      <c r="CR41" s="107">
        <v>0</v>
      </c>
      <c r="CS41" s="107">
        <v>0</v>
      </c>
      <c r="CT41" s="107">
        <v>0</v>
      </c>
      <c r="CU41" s="107"/>
      <c r="CV41" s="107">
        <v>18.437049999999999</v>
      </c>
      <c r="CW41" s="107">
        <f t="shared" si="56"/>
        <v>0</v>
      </c>
      <c r="CX41" s="107">
        <f t="shared" si="57"/>
        <v>0</v>
      </c>
      <c r="CY41" s="107">
        <f t="shared" si="58"/>
        <v>0.73149999999999993</v>
      </c>
      <c r="CZ41" s="107">
        <f t="shared" si="59"/>
        <v>0</v>
      </c>
      <c r="DA41" s="107">
        <f t="shared" si="60"/>
        <v>0.76439999999999997</v>
      </c>
      <c r="DB41" s="107">
        <f t="shared" si="61"/>
        <v>0.36549999999999999</v>
      </c>
      <c r="DC41" s="107">
        <f t="shared" si="41"/>
        <v>0.36549999999999999</v>
      </c>
      <c r="DD41" s="107">
        <f t="shared" si="19"/>
        <v>0</v>
      </c>
      <c r="DE41" s="107">
        <f t="shared" si="11"/>
        <v>0</v>
      </c>
      <c r="DF41" s="107">
        <f t="shared" si="20"/>
        <v>0.69700000000000006</v>
      </c>
      <c r="DG41" s="107">
        <f t="shared" si="21"/>
        <v>0</v>
      </c>
      <c r="DH41" s="107">
        <f t="shared" si="22"/>
        <v>0.89319999999999988</v>
      </c>
      <c r="DI41" s="107"/>
      <c r="DJ41" s="107"/>
      <c r="DK41" s="107"/>
      <c r="DL41" s="107"/>
      <c r="DM41" s="107"/>
      <c r="DN41" s="107"/>
      <c r="DO41" s="107"/>
      <c r="DP41" s="107"/>
      <c r="DQ41">
        <f t="shared" si="26"/>
        <v>0.12809999999999999</v>
      </c>
      <c r="DR41">
        <f t="shared" si="27"/>
        <v>0.17079999999999998</v>
      </c>
      <c r="DS41">
        <f t="shared" si="42"/>
        <v>0</v>
      </c>
      <c r="DT41">
        <f t="shared" si="43"/>
        <v>0</v>
      </c>
      <c r="DU41"/>
      <c r="DV41" s="39"/>
      <c r="DW41" s="54">
        <f t="shared" si="45"/>
        <v>0</v>
      </c>
      <c r="DX41" s="33"/>
      <c r="DY41" s="78"/>
      <c r="DZ41" s="78"/>
      <c r="EA41" s="35"/>
      <c r="EB41" s="36">
        <f t="shared" si="29"/>
        <v>0</v>
      </c>
      <c r="EC41" s="37"/>
      <c r="ED41" s="80"/>
      <c r="EE41" s="81"/>
      <c r="EF41" s="81"/>
      <c r="EG41" s="390">
        <f>BX41*0.707</f>
        <v>0.43126999999999999</v>
      </c>
      <c r="EH41" s="70"/>
      <c r="EI41" s="38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48" t="e">
        <f t="shared" si="30"/>
        <v>#DIV/0!</v>
      </c>
      <c r="FN41" s="48" t="e">
        <f t="shared" si="31"/>
        <v>#DIV/0!</v>
      </c>
      <c r="FO41" s="142">
        <f t="shared" si="32"/>
        <v>1.2210526315789474</v>
      </c>
      <c r="FP41" s="142" t="e">
        <f t="shared" si="33"/>
        <v>#DIV/0!</v>
      </c>
      <c r="FQ41" s="180">
        <f t="shared" si="34"/>
        <v>0</v>
      </c>
    </row>
    <row r="42" spans="1:173" ht="12.75" customHeight="1" x14ac:dyDescent="0.15">
      <c r="A42" s="134">
        <v>33</v>
      </c>
      <c r="B42" t="s">
        <v>246</v>
      </c>
      <c r="C42">
        <v>4887</v>
      </c>
      <c r="D42">
        <v>3060</v>
      </c>
      <c r="E42">
        <v>2834</v>
      </c>
      <c r="F42">
        <v>1830</v>
      </c>
      <c r="H42">
        <v>90.18</v>
      </c>
      <c r="I42">
        <v>33.28</v>
      </c>
      <c r="J42">
        <v>9.18</v>
      </c>
      <c r="K42">
        <v>6.45</v>
      </c>
      <c r="M42">
        <v>5.23</v>
      </c>
      <c r="O42">
        <v>4.67</v>
      </c>
      <c r="T42">
        <v>5.17</v>
      </c>
      <c r="U42">
        <v>24.93</v>
      </c>
      <c r="V42">
        <v>15.87</v>
      </c>
      <c r="W42">
        <v>5.89</v>
      </c>
      <c r="AB42">
        <v>35.379999999999995</v>
      </c>
      <c r="AC42">
        <v>60</v>
      </c>
      <c r="AD42" s="136">
        <v>42.697600000000001</v>
      </c>
      <c r="AF42">
        <v>3</v>
      </c>
      <c r="AG42">
        <v>0.67</v>
      </c>
      <c r="AH42">
        <v>1.33</v>
      </c>
      <c r="AI42">
        <v>1.91</v>
      </c>
      <c r="AJ42">
        <v>1.19</v>
      </c>
      <c r="AK42">
        <v>0.77</v>
      </c>
      <c r="AL42">
        <v>1.49</v>
      </c>
      <c r="AM42">
        <v>1.1299999999999999</v>
      </c>
      <c r="AN42">
        <v>0.51</v>
      </c>
      <c r="AO42">
        <v>1.55</v>
      </c>
      <c r="AR42">
        <v>0.59</v>
      </c>
      <c r="AW42">
        <v>0.72</v>
      </c>
      <c r="AY42">
        <v>78</v>
      </c>
      <c r="AZ42">
        <v>82</v>
      </c>
      <c r="BA42">
        <v>74</v>
      </c>
      <c r="BB42">
        <v>79</v>
      </c>
      <c r="BC42">
        <v>78</v>
      </c>
      <c r="BD42">
        <v>77</v>
      </c>
      <c r="BE42">
        <v>82</v>
      </c>
      <c r="BF42">
        <v>79</v>
      </c>
      <c r="BG42">
        <v>74</v>
      </c>
      <c r="BH42">
        <v>78</v>
      </c>
      <c r="BI42">
        <v>75</v>
      </c>
      <c r="BL42">
        <v>77</v>
      </c>
      <c r="BQ42">
        <v>78</v>
      </c>
      <c r="BS42">
        <v>0.37</v>
      </c>
      <c r="BT42">
        <v>0.06</v>
      </c>
      <c r="BU42">
        <v>1.26</v>
      </c>
      <c r="BV42">
        <v>0.5</v>
      </c>
      <c r="BW42">
        <v>0.13</v>
      </c>
      <c r="BX42">
        <v>0.87</v>
      </c>
      <c r="BY42">
        <v>0.39</v>
      </c>
      <c r="CB42">
        <v>21</v>
      </c>
      <c r="CC42">
        <v>28</v>
      </c>
      <c r="CF42" s="4">
        <v>21.227999999999998</v>
      </c>
      <c r="CH42" s="107">
        <v>20.300800000000002</v>
      </c>
      <c r="CI42" s="107">
        <v>2.4</v>
      </c>
      <c r="CJ42" s="107">
        <v>0.46230000000000004</v>
      </c>
      <c r="CK42" s="107">
        <v>0.98419999999999996</v>
      </c>
      <c r="CL42" s="107">
        <v>1.3943000000000001</v>
      </c>
      <c r="CM42" s="107">
        <v>0.77349999999999997</v>
      </c>
      <c r="CN42" s="107">
        <v>0.56980000000000008</v>
      </c>
      <c r="CO42" s="107">
        <v>0.92380000000000007</v>
      </c>
      <c r="CP42" s="107">
        <v>1.1174999999999999</v>
      </c>
      <c r="CQ42" s="107">
        <v>1.5854999999999999</v>
      </c>
      <c r="CR42" s="107">
        <v>0.66669999999999985</v>
      </c>
      <c r="CS42" s="107">
        <v>0.29070000000000001</v>
      </c>
      <c r="CT42" s="107">
        <v>1.054</v>
      </c>
      <c r="CU42" s="107"/>
      <c r="CV42" s="107">
        <v>25.958400000000001</v>
      </c>
      <c r="CW42" s="107">
        <f t="shared" si="56"/>
        <v>2.46</v>
      </c>
      <c r="CX42" s="107">
        <f t="shared" si="57"/>
        <v>0.49580000000000007</v>
      </c>
      <c r="CY42" s="107">
        <f t="shared" si="58"/>
        <v>1.0507</v>
      </c>
      <c r="CZ42" s="107">
        <f t="shared" si="59"/>
        <v>1.4897999999999998</v>
      </c>
      <c r="DA42" s="107">
        <f t="shared" si="60"/>
        <v>0.9163</v>
      </c>
      <c r="DB42" s="107">
        <f t="shared" si="61"/>
        <v>0.63139999999999996</v>
      </c>
      <c r="DC42" s="107">
        <f t="shared" si="41"/>
        <v>1.0856999999999999</v>
      </c>
      <c r="DD42" s="107">
        <f t="shared" si="19"/>
        <v>1.1771</v>
      </c>
      <c r="DE42" s="107">
        <f t="shared" si="11"/>
        <v>1.7387000000000001</v>
      </c>
      <c r="DF42" s="107">
        <f t="shared" si="20"/>
        <v>0.83619999999999994</v>
      </c>
      <c r="DG42" s="107">
        <f t="shared" si="21"/>
        <v>0.39779999999999999</v>
      </c>
      <c r="DH42" s="107">
        <f t="shared" si="22"/>
        <v>1.1625000000000001</v>
      </c>
      <c r="DI42" s="107"/>
      <c r="DJ42" s="107"/>
      <c r="DK42" s="107"/>
      <c r="DL42" s="107"/>
      <c r="DM42" s="107"/>
      <c r="DN42" s="107"/>
      <c r="DO42" s="107"/>
      <c r="DP42" s="107"/>
      <c r="DQ42">
        <f t="shared" si="26"/>
        <v>0.1827</v>
      </c>
      <c r="DR42">
        <f t="shared" si="27"/>
        <v>0.24359999999999998</v>
      </c>
      <c r="DS42">
        <f t="shared" si="42"/>
        <v>0</v>
      </c>
      <c r="DT42">
        <f t="shared" si="43"/>
        <v>0</v>
      </c>
      <c r="DU42"/>
      <c r="DV42" s="39"/>
      <c r="DW42" s="54">
        <f t="shared" si="45"/>
        <v>0</v>
      </c>
      <c r="DX42" s="33"/>
      <c r="DY42" s="78"/>
      <c r="DZ42" s="78"/>
      <c r="EA42" s="35"/>
      <c r="EB42" s="36">
        <f t="shared" ref="EB42:EB73" si="62">BX42*EA42</f>
        <v>0</v>
      </c>
      <c r="EC42" s="37"/>
      <c r="ED42" s="80"/>
      <c r="EE42" s="81"/>
      <c r="EF42" s="81"/>
      <c r="EG42" s="390">
        <f>BX42*0.647</f>
        <v>0.56289</v>
      </c>
      <c r="EH42" s="70"/>
      <c r="EI42" s="38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48">
        <f t="shared" si="30"/>
        <v>0.7803060813532019</v>
      </c>
      <c r="FN42" s="48">
        <f t="shared" si="31"/>
        <v>0.70526245133574983</v>
      </c>
      <c r="FO42" s="142">
        <f t="shared" si="32"/>
        <v>1.1064052536404303</v>
      </c>
      <c r="FP42" s="142">
        <f t="shared" si="33"/>
        <v>0.26701570680628273</v>
      </c>
      <c r="FQ42" s="180">
        <f t="shared" si="34"/>
        <v>4.4765624999999989E-2</v>
      </c>
    </row>
    <row r="43" spans="1:173" ht="12.75" customHeight="1" x14ac:dyDescent="0.15">
      <c r="A43" s="134">
        <v>34</v>
      </c>
      <c r="B43" t="s">
        <v>247</v>
      </c>
      <c r="C43">
        <v>4366</v>
      </c>
      <c r="D43">
        <v>3397</v>
      </c>
      <c r="E43">
        <v>3176</v>
      </c>
      <c r="F43">
        <v>2043</v>
      </c>
      <c r="H43">
        <v>91.13</v>
      </c>
      <c r="I43">
        <v>32.44</v>
      </c>
      <c r="J43">
        <v>14.25</v>
      </c>
      <c r="K43">
        <v>6.08</v>
      </c>
      <c r="M43">
        <v>3.67</v>
      </c>
      <c r="T43">
        <v>7.44</v>
      </c>
      <c r="U43">
        <v>24.11</v>
      </c>
      <c r="V43">
        <v>19.899999999999999</v>
      </c>
      <c r="W43">
        <v>1.52</v>
      </c>
      <c r="Y43">
        <v>30.03</v>
      </c>
      <c r="Z43">
        <v>1.61</v>
      </c>
      <c r="AB43">
        <v>41.5</v>
      </c>
      <c r="AC43">
        <v>87</v>
      </c>
      <c r="AD43" s="136">
        <v>43.762600000000006</v>
      </c>
      <c r="AF43">
        <v>3.61</v>
      </c>
      <c r="AG43">
        <v>0.92</v>
      </c>
      <c r="AH43">
        <v>1.39</v>
      </c>
      <c r="AI43">
        <v>2.31</v>
      </c>
      <c r="AJ43">
        <v>1.58</v>
      </c>
      <c r="AK43">
        <v>0.21</v>
      </c>
      <c r="AL43">
        <v>1.34</v>
      </c>
      <c r="AM43">
        <v>1.2</v>
      </c>
      <c r="AN43">
        <v>0.26</v>
      </c>
      <c r="AO43">
        <v>1.32</v>
      </c>
      <c r="AR43">
        <v>0.46</v>
      </c>
      <c r="AW43">
        <v>1.1599999999999999</v>
      </c>
      <c r="AY43">
        <v>86</v>
      </c>
      <c r="AZ43">
        <v>93</v>
      </c>
      <c r="BA43">
        <v>86</v>
      </c>
      <c r="BB43">
        <v>85</v>
      </c>
      <c r="BC43">
        <v>85</v>
      </c>
      <c r="BD43">
        <v>85</v>
      </c>
      <c r="BE43">
        <v>81</v>
      </c>
      <c r="BF43">
        <v>84</v>
      </c>
      <c r="BG43">
        <v>82</v>
      </c>
      <c r="BH43">
        <v>82</v>
      </c>
      <c r="BI43">
        <v>81</v>
      </c>
      <c r="BL43">
        <v>83</v>
      </c>
      <c r="BQ43">
        <v>82</v>
      </c>
      <c r="BS43">
        <v>0.37</v>
      </c>
      <c r="BT43">
        <v>0.03</v>
      </c>
      <c r="BU43">
        <v>1.1000000000000001</v>
      </c>
      <c r="BV43">
        <v>0.19</v>
      </c>
      <c r="BW43">
        <v>0.02</v>
      </c>
      <c r="BX43">
        <v>0.31</v>
      </c>
      <c r="BY43">
        <v>0.24</v>
      </c>
      <c r="CA43">
        <v>0.21</v>
      </c>
      <c r="CB43">
        <v>50</v>
      </c>
      <c r="CC43">
        <v>57</v>
      </c>
      <c r="CF43" s="4">
        <v>36.104999999999997</v>
      </c>
      <c r="CH43" s="107">
        <v>25.951999999999998</v>
      </c>
      <c r="CI43" s="107">
        <v>3.3212000000000002</v>
      </c>
      <c r="CJ43" s="107">
        <v>0.76359999999999995</v>
      </c>
      <c r="CK43" s="107">
        <v>1.1536999999999999</v>
      </c>
      <c r="CL43" s="107">
        <v>1.8942000000000001</v>
      </c>
      <c r="CM43" s="107">
        <v>1.2956000000000001</v>
      </c>
      <c r="CN43" s="107">
        <v>0.1575</v>
      </c>
      <c r="CO43" s="107">
        <v>0.51629999999999998</v>
      </c>
      <c r="CP43" s="107">
        <v>1.0988</v>
      </c>
      <c r="CQ43" s="107">
        <v>2.0152000000000001</v>
      </c>
      <c r="CR43" s="107">
        <v>0.91200000000000003</v>
      </c>
      <c r="CS43" s="107">
        <v>0.20280000000000001</v>
      </c>
      <c r="CT43" s="107">
        <v>1.0164</v>
      </c>
      <c r="CU43" s="107"/>
      <c r="CV43" s="107">
        <v>27.898399999999995</v>
      </c>
      <c r="CW43" s="107">
        <f t="shared" si="56"/>
        <v>3.3572999999999995</v>
      </c>
      <c r="CX43" s="107">
        <f t="shared" si="57"/>
        <v>0.79120000000000001</v>
      </c>
      <c r="CY43" s="107">
        <f t="shared" si="58"/>
        <v>1.1815</v>
      </c>
      <c r="CZ43" s="107">
        <f t="shared" si="59"/>
        <v>1.9635</v>
      </c>
      <c r="DA43" s="107">
        <f t="shared" si="60"/>
        <v>1.3430000000000002</v>
      </c>
      <c r="DB43" s="107">
        <f t="shared" si="61"/>
        <v>0.17009999999999997</v>
      </c>
      <c r="DC43" s="107">
        <f t="shared" si="41"/>
        <v>0.55189999999999995</v>
      </c>
      <c r="DD43" s="107">
        <f t="shared" si="19"/>
        <v>1.1255999999999999</v>
      </c>
      <c r="DE43" s="107">
        <f t="shared" si="11"/>
        <v>2.0768</v>
      </c>
      <c r="DF43" s="107">
        <f t="shared" si="20"/>
        <v>0.98399999999999987</v>
      </c>
      <c r="DG43" s="107">
        <f t="shared" si="21"/>
        <v>0.2132</v>
      </c>
      <c r="DH43" s="107">
        <f t="shared" si="22"/>
        <v>1.0691999999999999</v>
      </c>
      <c r="DI43" s="107"/>
      <c r="DJ43" s="107"/>
      <c r="DK43" s="107"/>
      <c r="DL43" s="107"/>
      <c r="DM43" s="107"/>
      <c r="DN43" s="107"/>
      <c r="DO43" s="107"/>
      <c r="DP43" s="107"/>
      <c r="DQ43">
        <f t="shared" si="26"/>
        <v>0.155</v>
      </c>
      <c r="DR43">
        <f t="shared" si="27"/>
        <v>0.17669999999999997</v>
      </c>
      <c r="DS43">
        <f t="shared" si="42"/>
        <v>0</v>
      </c>
      <c r="DT43">
        <f t="shared" si="43"/>
        <v>0</v>
      </c>
      <c r="DU43"/>
      <c r="DV43" s="39"/>
      <c r="DW43" s="54">
        <f t="shared" si="45"/>
        <v>0</v>
      </c>
      <c r="DX43" s="33"/>
      <c r="DY43" s="78"/>
      <c r="DZ43" s="78"/>
      <c r="EA43" s="35"/>
      <c r="EB43" s="36">
        <f t="shared" si="62"/>
        <v>0</v>
      </c>
      <c r="EC43" s="37"/>
      <c r="ED43" s="80"/>
      <c r="EE43" s="81"/>
      <c r="EF43" s="81"/>
      <c r="EG43" s="390">
        <v>0.21</v>
      </c>
      <c r="EH43" s="70"/>
      <c r="EI43" s="38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48">
        <f t="shared" si="30"/>
        <v>0.54453781512605037</v>
      </c>
      <c r="FN43" s="48">
        <f t="shared" si="31"/>
        <v>0.60173160173160167</v>
      </c>
      <c r="FO43" s="142">
        <f t="shared" si="32"/>
        <v>0.90495133305120601</v>
      </c>
      <c r="FP43" s="142">
        <f t="shared" si="33"/>
        <v>0.1085816144639674</v>
      </c>
      <c r="FQ43" s="180">
        <f t="shared" si="34"/>
        <v>6.0527127003699145E-2</v>
      </c>
    </row>
    <row r="44" spans="1:173" ht="12.75" customHeight="1" x14ac:dyDescent="0.15">
      <c r="A44" s="134">
        <v>35</v>
      </c>
      <c r="B44" t="s">
        <v>248</v>
      </c>
      <c r="C44">
        <v>4497</v>
      </c>
      <c r="D44">
        <v>3452</v>
      </c>
      <c r="E44">
        <v>3068</v>
      </c>
      <c r="F44">
        <v>2010</v>
      </c>
      <c r="H44">
        <v>96.12</v>
      </c>
      <c r="I44">
        <v>56.4</v>
      </c>
      <c r="K44">
        <v>11.09</v>
      </c>
      <c r="M44">
        <v>21.59</v>
      </c>
      <c r="T44">
        <v>0</v>
      </c>
      <c r="U44">
        <v>31.6</v>
      </c>
      <c r="V44">
        <v>8.3000000000000007</v>
      </c>
      <c r="AB44">
        <v>7.0400000000000063</v>
      </c>
      <c r="AC44">
        <v>57</v>
      </c>
      <c r="AD44" s="136">
        <v>41.488399999999999</v>
      </c>
      <c r="AF44">
        <v>3.65</v>
      </c>
      <c r="AG44">
        <v>1.24</v>
      </c>
      <c r="AH44">
        <v>1.82</v>
      </c>
      <c r="AI44">
        <v>3.7</v>
      </c>
      <c r="AJ44">
        <v>3.2</v>
      </c>
      <c r="AK44">
        <v>0.83</v>
      </c>
      <c r="AL44">
        <v>1.98</v>
      </c>
      <c r="AM44">
        <v>1.89</v>
      </c>
      <c r="AN44">
        <v>0.4</v>
      </c>
      <c r="AO44">
        <v>2.61</v>
      </c>
      <c r="AR44">
        <v>0.56000000000000005</v>
      </c>
      <c r="AW44">
        <v>1.35</v>
      </c>
      <c r="AY44">
        <v>76</v>
      </c>
      <c r="AZ44">
        <v>84</v>
      </c>
      <c r="BA44">
        <v>75</v>
      </c>
      <c r="BB44">
        <v>78</v>
      </c>
      <c r="BC44">
        <v>77</v>
      </c>
      <c r="BD44">
        <v>78</v>
      </c>
      <c r="BE44">
        <v>82</v>
      </c>
      <c r="BF44">
        <v>79</v>
      </c>
      <c r="BG44">
        <v>74</v>
      </c>
      <c r="BH44">
        <v>76</v>
      </c>
      <c r="BI44">
        <v>76</v>
      </c>
      <c r="BL44">
        <v>62</v>
      </c>
      <c r="BQ44">
        <v>78</v>
      </c>
      <c r="BS44">
        <v>6.37</v>
      </c>
      <c r="BT44">
        <v>0.97</v>
      </c>
      <c r="BU44">
        <v>0.56999999999999995</v>
      </c>
      <c r="BV44">
        <v>0.35</v>
      </c>
      <c r="BW44">
        <v>0.8</v>
      </c>
      <c r="BX44">
        <v>3.16</v>
      </c>
      <c r="BY44">
        <v>0.45</v>
      </c>
      <c r="CB44">
        <v>82</v>
      </c>
      <c r="CC44">
        <v>86</v>
      </c>
      <c r="CD44">
        <v>77</v>
      </c>
      <c r="CE44">
        <v>86</v>
      </c>
      <c r="CF44" s="4">
        <v>4.0128000000000039</v>
      </c>
      <c r="CH44" s="107">
        <v>41.171999999999997</v>
      </c>
      <c r="CI44" s="107">
        <v>3.0295000000000001</v>
      </c>
      <c r="CJ44" s="107">
        <v>0.9052</v>
      </c>
      <c r="CK44" s="107">
        <v>1.365</v>
      </c>
      <c r="CL44" s="107">
        <v>2.7749999999999999</v>
      </c>
      <c r="CM44" s="107">
        <v>2.4320000000000004</v>
      </c>
      <c r="CN44" s="107">
        <v>0.66399999999999992</v>
      </c>
      <c r="CO44" s="107">
        <v>0.99439999999999995</v>
      </c>
      <c r="CP44" s="107">
        <v>1.5246000000000002</v>
      </c>
      <c r="CQ44" s="107">
        <v>2.5641000000000003</v>
      </c>
      <c r="CR44" s="107">
        <v>1.3418999999999999</v>
      </c>
      <c r="CS44" s="107">
        <v>0.26800000000000002</v>
      </c>
      <c r="CT44" s="107">
        <v>1.9313999999999998</v>
      </c>
      <c r="CU44" s="107"/>
      <c r="CV44" s="107">
        <v>42.863999999999997</v>
      </c>
      <c r="CW44" s="107">
        <f t="shared" si="56"/>
        <v>3.0659999999999998</v>
      </c>
      <c r="CX44" s="107">
        <f t="shared" si="57"/>
        <v>0.93</v>
      </c>
      <c r="CY44" s="107">
        <f t="shared" si="58"/>
        <v>1.4196</v>
      </c>
      <c r="CZ44" s="107">
        <f t="shared" si="59"/>
        <v>2.8490000000000002</v>
      </c>
      <c r="DA44" s="107">
        <f t="shared" si="60"/>
        <v>2.4960000000000004</v>
      </c>
      <c r="DB44" s="107">
        <f t="shared" si="61"/>
        <v>0.68059999999999998</v>
      </c>
      <c r="DC44" s="107">
        <f t="shared" si="41"/>
        <v>1.0278</v>
      </c>
      <c r="DD44" s="107">
        <f t="shared" si="19"/>
        <v>1.5641999999999998</v>
      </c>
      <c r="DE44" s="107">
        <f t="shared" si="11"/>
        <v>2.6172</v>
      </c>
      <c r="DF44" s="107">
        <f t="shared" si="20"/>
        <v>1.3985999999999998</v>
      </c>
      <c r="DG44" s="107">
        <f t="shared" si="21"/>
        <v>0.30400000000000005</v>
      </c>
      <c r="DH44" s="107">
        <f t="shared" si="22"/>
        <v>1.9835999999999998</v>
      </c>
      <c r="DI44" s="107"/>
      <c r="DJ44" s="107"/>
      <c r="DK44" s="107"/>
      <c r="DL44" s="107"/>
      <c r="DM44" s="107"/>
      <c r="DN44" s="107"/>
      <c r="DO44" s="107"/>
      <c r="DP44" s="107"/>
      <c r="DQ44">
        <f t="shared" si="26"/>
        <v>2.5912000000000002</v>
      </c>
      <c r="DR44">
        <f t="shared" si="27"/>
        <v>2.7176</v>
      </c>
      <c r="DS44">
        <f t="shared" si="42"/>
        <v>4.9049000000000005</v>
      </c>
      <c r="DT44">
        <f t="shared" si="43"/>
        <v>5.4782000000000002</v>
      </c>
      <c r="DU44"/>
      <c r="DV44" s="39"/>
      <c r="DW44" s="54">
        <f t="shared" si="45"/>
        <v>0</v>
      </c>
      <c r="DX44" s="33"/>
      <c r="DY44" s="78"/>
      <c r="DZ44" s="78"/>
      <c r="EA44" s="35"/>
      <c r="EB44" s="36">
        <f t="shared" si="62"/>
        <v>0</v>
      </c>
      <c r="EC44" s="37"/>
      <c r="ED44" s="80"/>
      <c r="EE44" s="81"/>
      <c r="EF44" s="81"/>
      <c r="EG44" s="390"/>
      <c r="EH44" s="70"/>
      <c r="EI44" s="38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48">
        <f t="shared" si="30"/>
        <v>0.69624429624429618</v>
      </c>
      <c r="FN44" s="48">
        <f t="shared" si="31"/>
        <v>0.49828009828009823</v>
      </c>
      <c r="FO44" s="142">
        <f t="shared" si="32"/>
        <v>1.397295012679628</v>
      </c>
      <c r="FP44" s="142">
        <f t="shared" si="33"/>
        <v>0.10670410670410671</v>
      </c>
      <c r="FQ44" s="180">
        <f t="shared" si="34"/>
        <v>5.0514184397163125E-2</v>
      </c>
    </row>
    <row r="45" spans="1:173" ht="12.75" customHeight="1" x14ac:dyDescent="0.15">
      <c r="A45" s="134">
        <v>36</v>
      </c>
      <c r="B45" t="s">
        <v>249</v>
      </c>
      <c r="C45">
        <v>3806</v>
      </c>
      <c r="D45">
        <v>3303</v>
      </c>
      <c r="E45">
        <v>2963</v>
      </c>
      <c r="F45">
        <v>1961</v>
      </c>
      <c r="H45">
        <v>95.16</v>
      </c>
      <c r="I45">
        <v>50.05</v>
      </c>
      <c r="K45">
        <v>9.2100000000000009</v>
      </c>
      <c r="M45">
        <v>31.95</v>
      </c>
      <c r="T45">
        <v>0</v>
      </c>
      <c r="U45">
        <v>32.5</v>
      </c>
      <c r="V45">
        <v>5.05</v>
      </c>
      <c r="AB45">
        <v>3.9499999999999993</v>
      </c>
      <c r="AC45">
        <v>0</v>
      </c>
      <c r="AD45" s="136">
        <v>35.303599999999996</v>
      </c>
      <c r="AF45">
        <v>3.53</v>
      </c>
      <c r="AG45">
        <v>0.91</v>
      </c>
      <c r="AH45">
        <v>1.47</v>
      </c>
      <c r="AI45">
        <v>3.06</v>
      </c>
      <c r="AJ45">
        <v>2.59</v>
      </c>
      <c r="AK45">
        <v>0.69</v>
      </c>
      <c r="AL45">
        <v>1.65</v>
      </c>
      <c r="AM45">
        <v>1.63</v>
      </c>
      <c r="AN45">
        <v>0.3</v>
      </c>
      <c r="AO45">
        <v>2.19</v>
      </c>
      <c r="AR45">
        <v>0.46</v>
      </c>
      <c r="AW45">
        <v>1.08</v>
      </c>
      <c r="AY45">
        <v>72</v>
      </c>
      <c r="AZ45">
        <v>83</v>
      </c>
      <c r="BA45">
        <v>71</v>
      </c>
      <c r="BB45">
        <v>73</v>
      </c>
      <c r="BC45">
        <v>76</v>
      </c>
      <c r="BD45">
        <v>73</v>
      </c>
      <c r="BE45">
        <v>84</v>
      </c>
      <c r="BF45">
        <v>79</v>
      </c>
      <c r="BG45">
        <v>69</v>
      </c>
      <c r="BH45">
        <v>62</v>
      </c>
      <c r="BI45">
        <v>76</v>
      </c>
      <c r="BL45">
        <v>56</v>
      </c>
      <c r="BQ45">
        <v>68</v>
      </c>
      <c r="BS45">
        <v>10.94</v>
      </c>
      <c r="BT45">
        <v>0.69</v>
      </c>
      <c r="BU45">
        <v>0.65</v>
      </c>
      <c r="BV45">
        <v>0.41</v>
      </c>
      <c r="BW45">
        <v>0.63</v>
      </c>
      <c r="BX45">
        <v>5.26</v>
      </c>
      <c r="BY45">
        <v>0.38</v>
      </c>
      <c r="CB45">
        <v>68</v>
      </c>
      <c r="CC45">
        <v>70</v>
      </c>
      <c r="CD45">
        <v>77</v>
      </c>
      <c r="CE45">
        <v>82</v>
      </c>
      <c r="CF45" s="4">
        <v>0</v>
      </c>
      <c r="CH45" s="107">
        <v>34.033999999999999</v>
      </c>
      <c r="CI45" s="107">
        <v>2.8239999999999998</v>
      </c>
      <c r="CJ45" s="107">
        <v>0.61880000000000002</v>
      </c>
      <c r="CK45" s="107">
        <v>1.0143</v>
      </c>
      <c r="CL45" s="107">
        <v>2.2031999999999998</v>
      </c>
      <c r="CM45" s="107">
        <v>1.8129999999999997</v>
      </c>
      <c r="CN45" s="107">
        <v>0.55889999999999995</v>
      </c>
      <c r="CO45" s="107">
        <v>0.77049999999999996</v>
      </c>
      <c r="CP45" s="107">
        <v>1.254</v>
      </c>
      <c r="CQ45" s="107">
        <v>1.8912</v>
      </c>
      <c r="CR45" s="107">
        <v>1.0431999999999999</v>
      </c>
      <c r="CS45" s="107">
        <v>0.156</v>
      </c>
      <c r="CT45" s="107">
        <v>1.5768</v>
      </c>
      <c r="CU45" s="107"/>
      <c r="CV45" s="107">
        <v>36.036000000000001</v>
      </c>
      <c r="CW45" s="107">
        <f t="shared" si="56"/>
        <v>2.9298999999999999</v>
      </c>
      <c r="CX45" s="107">
        <f t="shared" si="57"/>
        <v>0.64610000000000001</v>
      </c>
      <c r="CY45" s="107">
        <f t="shared" si="58"/>
        <v>1.0730999999999999</v>
      </c>
      <c r="CZ45" s="107">
        <f t="shared" si="59"/>
        <v>2.3256000000000001</v>
      </c>
      <c r="DA45" s="107">
        <f t="shared" si="60"/>
        <v>1.8906999999999998</v>
      </c>
      <c r="DB45" s="107">
        <f t="shared" si="61"/>
        <v>0.57959999999999989</v>
      </c>
      <c r="DC45" s="107">
        <f t="shared" si="41"/>
        <v>0.83719999999999994</v>
      </c>
      <c r="DD45" s="107">
        <f t="shared" si="19"/>
        <v>1.3034999999999999</v>
      </c>
      <c r="DE45" s="107">
        <f t="shared" si="11"/>
        <v>2.0378999999999996</v>
      </c>
      <c r="DF45" s="107">
        <f t="shared" si="20"/>
        <v>1.1247</v>
      </c>
      <c r="DG45" s="107">
        <f t="shared" si="21"/>
        <v>0.18599999999999997</v>
      </c>
      <c r="DH45" s="107">
        <f t="shared" si="22"/>
        <v>1.6643999999999999</v>
      </c>
      <c r="DI45" s="107"/>
      <c r="DJ45" s="107"/>
      <c r="DK45" s="107"/>
      <c r="DL45" s="107"/>
      <c r="DM45" s="107"/>
      <c r="DN45" s="107"/>
      <c r="DO45" s="107"/>
      <c r="DP45" s="107"/>
      <c r="DQ45">
        <f t="shared" si="26"/>
        <v>3.5768</v>
      </c>
      <c r="DR45">
        <f t="shared" si="27"/>
        <v>3.6819999999999999</v>
      </c>
      <c r="DS45">
        <f t="shared" si="42"/>
        <v>8.4238</v>
      </c>
      <c r="DT45">
        <f t="shared" si="43"/>
        <v>8.9707999999999988</v>
      </c>
      <c r="DU45"/>
      <c r="DV45" s="39">
        <v>51.5</v>
      </c>
      <c r="DW45" s="54">
        <f t="shared" si="45"/>
        <v>300</v>
      </c>
      <c r="DX45" s="33">
        <v>0.15</v>
      </c>
      <c r="DY45" s="78">
        <v>1724.0497076023391</v>
      </c>
      <c r="DZ45" s="78">
        <v>1672</v>
      </c>
      <c r="EA45" s="35">
        <v>0.9</v>
      </c>
      <c r="EB45" s="36">
        <f t="shared" si="62"/>
        <v>4.734</v>
      </c>
      <c r="EC45" s="37">
        <v>0.72</v>
      </c>
      <c r="ED45" s="80">
        <v>0</v>
      </c>
      <c r="EE45" s="81">
        <v>0</v>
      </c>
      <c r="EF45" s="81"/>
      <c r="EG45" s="390"/>
      <c r="EH45" s="126">
        <f>64*K45/10</f>
        <v>58.944000000000003</v>
      </c>
      <c r="EI45" s="38">
        <f>IF(AR45="","",AR45*BL45)</f>
        <v>25.76</v>
      </c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48">
        <f t="shared" si="30"/>
        <v>0.71568627450980382</v>
      </c>
      <c r="FN45" s="48">
        <f t="shared" si="31"/>
        <v>0.46142930856553144</v>
      </c>
      <c r="FO45" s="142">
        <f t="shared" si="32"/>
        <v>1.5510204081632653</v>
      </c>
      <c r="FP45" s="142">
        <f t="shared" si="33"/>
        <v>7.9979360165118668E-2</v>
      </c>
      <c r="FQ45" s="180">
        <f t="shared" si="34"/>
        <v>4.6465534465534468E-2</v>
      </c>
    </row>
    <row r="46" spans="1:173" ht="12.75" customHeight="1" x14ac:dyDescent="0.15">
      <c r="A46" s="134">
        <v>37</v>
      </c>
      <c r="B46" t="s">
        <v>250</v>
      </c>
      <c r="C46">
        <v>5670</v>
      </c>
      <c r="D46">
        <v>4135</v>
      </c>
      <c r="E46">
        <v>3530</v>
      </c>
      <c r="F46">
        <v>2088</v>
      </c>
      <c r="H46">
        <v>91.72</v>
      </c>
      <c r="I46">
        <v>88.95</v>
      </c>
      <c r="J46">
        <v>0</v>
      </c>
      <c r="K46">
        <v>0.17</v>
      </c>
      <c r="M46">
        <v>0</v>
      </c>
      <c r="T46">
        <v>0</v>
      </c>
      <c r="V46">
        <v>0</v>
      </c>
      <c r="AB46">
        <v>2.5999999999999961</v>
      </c>
      <c r="AC46">
        <v>95</v>
      </c>
      <c r="AD46" s="136">
        <v>48.442700000000002</v>
      </c>
      <c r="AF46">
        <v>3.13</v>
      </c>
      <c r="AG46">
        <v>2.57</v>
      </c>
      <c r="AH46">
        <v>4.49</v>
      </c>
      <c r="AI46">
        <v>8.24</v>
      </c>
      <c r="AJ46">
        <v>6.87</v>
      </c>
      <c r="AK46">
        <v>2.52</v>
      </c>
      <c r="AL46">
        <v>4.49</v>
      </c>
      <c r="AM46">
        <v>3.77</v>
      </c>
      <c r="AN46">
        <v>1.33</v>
      </c>
      <c r="AO46">
        <v>5.81</v>
      </c>
      <c r="AR46">
        <v>0.45</v>
      </c>
      <c r="AW46">
        <v>4.87</v>
      </c>
      <c r="AY46">
        <v>94</v>
      </c>
      <c r="AZ46">
        <v>95</v>
      </c>
      <c r="BA46">
        <v>97</v>
      </c>
      <c r="BB46">
        <v>95</v>
      </c>
      <c r="BC46">
        <v>97</v>
      </c>
      <c r="BD46">
        <v>97</v>
      </c>
      <c r="BE46">
        <v>98</v>
      </c>
      <c r="BF46">
        <v>96</v>
      </c>
      <c r="BG46">
        <v>93</v>
      </c>
      <c r="BH46">
        <v>96</v>
      </c>
      <c r="BI46">
        <v>96</v>
      </c>
      <c r="BL46">
        <v>85</v>
      </c>
      <c r="BQ46">
        <v>97</v>
      </c>
      <c r="BS46">
        <v>0.2</v>
      </c>
      <c r="BT46">
        <v>0.04</v>
      </c>
      <c r="BU46">
        <v>0.01</v>
      </c>
      <c r="BV46">
        <v>0.01</v>
      </c>
      <c r="BW46">
        <v>0.01</v>
      </c>
      <c r="BX46">
        <v>0.68</v>
      </c>
      <c r="BY46">
        <v>0.6</v>
      </c>
      <c r="CB46">
        <v>87</v>
      </c>
      <c r="CC46">
        <v>98</v>
      </c>
      <c r="CF46" s="4">
        <v>2.4699999999999962</v>
      </c>
      <c r="CH46" s="107">
        <v>77.386500000000012</v>
      </c>
      <c r="CI46" s="107">
        <v>2.7544</v>
      </c>
      <c r="CJ46" s="107">
        <v>2.3900999999999999</v>
      </c>
      <c r="CK46" s="107">
        <v>4.0859000000000005</v>
      </c>
      <c r="CL46" s="107">
        <v>7.7456000000000005</v>
      </c>
      <c r="CM46" s="107">
        <v>6.5264999999999995</v>
      </c>
      <c r="CN46" s="107">
        <v>2.4192</v>
      </c>
      <c r="CO46" s="107">
        <v>2.7206999999999999</v>
      </c>
      <c r="CP46" s="107">
        <v>4.1757</v>
      </c>
      <c r="CQ46" s="107">
        <v>8.7534999999999989</v>
      </c>
      <c r="CR46" s="107">
        <v>3.2422000000000004</v>
      </c>
      <c r="CS46" s="107">
        <v>1.2236000000000002</v>
      </c>
      <c r="CT46" s="107">
        <v>5.3452000000000002</v>
      </c>
      <c r="CU46" s="107"/>
      <c r="CV46" s="107">
        <v>83.613000000000014</v>
      </c>
      <c r="CW46" s="107">
        <f t="shared" si="56"/>
        <v>2.9734999999999996</v>
      </c>
      <c r="CX46" s="107">
        <f t="shared" si="57"/>
        <v>2.4929000000000001</v>
      </c>
      <c r="CY46" s="107">
        <f t="shared" si="58"/>
        <v>4.2655000000000003</v>
      </c>
      <c r="CZ46" s="107">
        <f t="shared" si="59"/>
        <v>7.9927999999999999</v>
      </c>
      <c r="DA46" s="107">
        <f t="shared" si="60"/>
        <v>6.6638999999999999</v>
      </c>
      <c r="DB46" s="107">
        <f t="shared" si="61"/>
        <v>2.4696000000000002</v>
      </c>
      <c r="DC46" s="107">
        <f t="shared" si="41"/>
        <v>2.8521000000000005</v>
      </c>
      <c r="DD46" s="107">
        <f t="shared" si="19"/>
        <v>4.3104000000000005</v>
      </c>
      <c r="DE46" s="107">
        <f t="shared" si="11"/>
        <v>9.0343</v>
      </c>
      <c r="DF46" s="107">
        <f t="shared" si="20"/>
        <v>3.5061</v>
      </c>
      <c r="DG46" s="107">
        <f t="shared" si="21"/>
        <v>1.2768000000000002</v>
      </c>
      <c r="DH46" s="107">
        <f t="shared" si="22"/>
        <v>5.5776000000000003</v>
      </c>
      <c r="DI46" s="107"/>
      <c r="DJ46" s="107"/>
      <c r="DK46" s="107"/>
      <c r="DL46" s="107"/>
      <c r="DM46" s="107"/>
      <c r="DN46" s="107"/>
      <c r="DO46" s="107"/>
      <c r="DP46" s="107"/>
      <c r="DQ46">
        <f t="shared" si="26"/>
        <v>0.59160000000000001</v>
      </c>
      <c r="DR46">
        <f t="shared" si="27"/>
        <v>0.66639999999999999</v>
      </c>
      <c r="DS46">
        <f t="shared" si="42"/>
        <v>0</v>
      </c>
      <c r="DT46">
        <f t="shared" si="43"/>
        <v>0</v>
      </c>
      <c r="DU46"/>
      <c r="DV46" s="39"/>
      <c r="DW46" s="54">
        <f t="shared" si="45"/>
        <v>0</v>
      </c>
      <c r="DX46" s="33"/>
      <c r="DY46" s="78"/>
      <c r="DZ46" s="78"/>
      <c r="EA46" s="35"/>
      <c r="EB46" s="36">
        <f t="shared" si="62"/>
        <v>0</v>
      </c>
      <c r="EC46" s="37"/>
      <c r="ED46" s="80"/>
      <c r="EE46" s="81"/>
      <c r="EF46" s="81"/>
      <c r="EG46" s="390"/>
      <c r="EH46" s="70"/>
      <c r="EI46" s="38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48">
        <f t="shared" si="30"/>
        <v>0.69782804524071673</v>
      </c>
      <c r="FN46" s="48">
        <f t="shared" si="31"/>
        <v>0.53366780102091882</v>
      </c>
      <c r="FO46" s="142">
        <f t="shared" si="32"/>
        <v>1.307607548939163</v>
      </c>
      <c r="FP46" s="142">
        <f t="shared" si="33"/>
        <v>0.15974376939245322</v>
      </c>
      <c r="FQ46" s="180">
        <f t="shared" si="34"/>
        <v>8.9857223159078126E-2</v>
      </c>
    </row>
    <row r="47" spans="1:173" ht="12.75" customHeight="1" x14ac:dyDescent="0.15">
      <c r="A47" s="134">
        <v>38</v>
      </c>
      <c r="B47" t="s">
        <v>251</v>
      </c>
      <c r="C47">
        <v>4143</v>
      </c>
      <c r="D47">
        <v>3525</v>
      </c>
      <c r="E47">
        <v>3525</v>
      </c>
      <c r="F47">
        <v>2923</v>
      </c>
      <c r="H47">
        <v>95</v>
      </c>
      <c r="I47">
        <v>0</v>
      </c>
      <c r="K47">
        <v>0</v>
      </c>
      <c r="M47">
        <v>0</v>
      </c>
      <c r="N47">
        <v>95</v>
      </c>
      <c r="T47">
        <v>0</v>
      </c>
      <c r="V47">
        <v>0</v>
      </c>
      <c r="AB47">
        <v>0</v>
      </c>
      <c r="AC47">
        <v>0</v>
      </c>
      <c r="AD47" s="136">
        <v>39.9</v>
      </c>
      <c r="CF47" s="4">
        <v>0</v>
      </c>
      <c r="CH47" s="107">
        <v>0</v>
      </c>
      <c r="CI47" s="107">
        <v>0</v>
      </c>
      <c r="CJ47" s="107">
        <v>0</v>
      </c>
      <c r="CK47" s="107">
        <v>0</v>
      </c>
      <c r="CL47" s="107">
        <v>0</v>
      </c>
      <c r="CM47" s="107">
        <v>0</v>
      </c>
      <c r="CN47" s="107">
        <v>0</v>
      </c>
      <c r="CO47" s="107">
        <v>0</v>
      </c>
      <c r="CP47" s="107">
        <v>0</v>
      </c>
      <c r="CQ47" s="107">
        <v>0</v>
      </c>
      <c r="CR47" s="107">
        <v>0</v>
      </c>
      <c r="CS47" s="107">
        <v>0</v>
      </c>
      <c r="CT47" s="107">
        <v>0</v>
      </c>
      <c r="CU47" s="107"/>
      <c r="CV47" s="107">
        <v>0</v>
      </c>
      <c r="CW47" s="107">
        <f t="shared" si="56"/>
        <v>0</v>
      </c>
      <c r="CX47" s="107">
        <f t="shared" si="57"/>
        <v>0</v>
      </c>
      <c r="CY47" s="107">
        <f t="shared" si="58"/>
        <v>0</v>
      </c>
      <c r="CZ47" s="107">
        <f t="shared" si="59"/>
        <v>0</v>
      </c>
      <c r="DA47" s="107">
        <f t="shared" si="60"/>
        <v>0</v>
      </c>
      <c r="DB47" s="107">
        <f t="shared" si="61"/>
        <v>0</v>
      </c>
      <c r="DC47" s="107">
        <f t="shared" si="41"/>
        <v>0</v>
      </c>
      <c r="DD47" s="107">
        <f t="shared" si="19"/>
        <v>0</v>
      </c>
      <c r="DE47" s="107">
        <f t="shared" si="11"/>
        <v>0</v>
      </c>
      <c r="DF47" s="107">
        <f t="shared" si="20"/>
        <v>0</v>
      </c>
      <c r="DG47" s="107">
        <f t="shared" si="21"/>
        <v>0</v>
      </c>
      <c r="DH47" s="107">
        <f t="shared" si="22"/>
        <v>0</v>
      </c>
      <c r="DI47" s="107"/>
      <c r="DJ47" s="107"/>
      <c r="DK47" s="107"/>
      <c r="DL47" s="107"/>
      <c r="DM47" s="107"/>
      <c r="DN47" s="107"/>
      <c r="DO47" s="107"/>
      <c r="DP47" s="107"/>
      <c r="DQ47">
        <f t="shared" si="26"/>
        <v>0</v>
      </c>
      <c r="DR47">
        <f t="shared" si="27"/>
        <v>0</v>
      </c>
      <c r="DS47">
        <f t="shared" si="42"/>
        <v>0</v>
      </c>
      <c r="DT47">
        <f t="shared" si="43"/>
        <v>0</v>
      </c>
      <c r="DU47"/>
      <c r="DV47" s="32"/>
      <c r="DW47" s="54">
        <f t="shared" si="45"/>
        <v>600</v>
      </c>
      <c r="DX47" s="33">
        <v>0.3</v>
      </c>
      <c r="DY47" s="95">
        <v>3038.7358916478556</v>
      </c>
      <c r="DZ47" s="95">
        <v>2995.9367945823928</v>
      </c>
      <c r="EA47" s="149">
        <v>0</v>
      </c>
      <c r="EB47" s="36">
        <f t="shared" si="62"/>
        <v>0</v>
      </c>
      <c r="EC47" s="80">
        <v>0</v>
      </c>
      <c r="ED47" s="37">
        <v>100</v>
      </c>
      <c r="EE47" s="81">
        <v>0</v>
      </c>
      <c r="EF47" s="81"/>
      <c r="EG47" s="390"/>
      <c r="EH47" s="37">
        <f>44*K47/10</f>
        <v>0</v>
      </c>
      <c r="EI47" s="38" t="str">
        <f>IF(AR47="","",AR47*BL47)</f>
        <v/>
      </c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48" t="e">
        <f t="shared" si="30"/>
        <v>#DIV/0!</v>
      </c>
      <c r="FN47" s="48" t="e">
        <f t="shared" si="31"/>
        <v>#DIV/0!</v>
      </c>
      <c r="FO47" s="142" t="e">
        <f t="shared" si="32"/>
        <v>#DIV/0!</v>
      </c>
      <c r="FP47" s="142" t="e">
        <f t="shared" si="33"/>
        <v>#DIV/0!</v>
      </c>
      <c r="FQ47" s="180" t="e">
        <f t="shared" si="34"/>
        <v>#DIV/0!</v>
      </c>
    </row>
    <row r="48" spans="1:173" ht="12.75" customHeight="1" x14ac:dyDescent="0.15">
      <c r="A48" s="134">
        <v>39</v>
      </c>
      <c r="B48" t="s">
        <v>252</v>
      </c>
      <c r="C48">
        <v>4437</v>
      </c>
      <c r="D48">
        <v>3980</v>
      </c>
      <c r="E48">
        <v>3730</v>
      </c>
      <c r="F48">
        <v>2695</v>
      </c>
      <c r="H48">
        <v>94.6</v>
      </c>
      <c r="I48">
        <v>36.770000000000003</v>
      </c>
      <c r="K48">
        <v>0.9</v>
      </c>
      <c r="M48">
        <v>8</v>
      </c>
      <c r="N48">
        <v>47.82</v>
      </c>
      <c r="T48">
        <v>0</v>
      </c>
      <c r="V48">
        <v>0</v>
      </c>
      <c r="AB48">
        <v>1.1099999999999923</v>
      </c>
      <c r="AC48">
        <v>94</v>
      </c>
      <c r="AD48" s="136">
        <v>40.756</v>
      </c>
      <c r="AF48">
        <v>1.17</v>
      </c>
      <c r="AG48">
        <v>0.94</v>
      </c>
      <c r="AH48">
        <v>1.45</v>
      </c>
      <c r="AI48">
        <v>3.02</v>
      </c>
      <c r="AJ48">
        <v>2.42</v>
      </c>
      <c r="AK48">
        <v>0.82</v>
      </c>
      <c r="AL48">
        <v>1.51</v>
      </c>
      <c r="AM48">
        <v>1.44</v>
      </c>
      <c r="AN48">
        <v>0.44</v>
      </c>
      <c r="AO48">
        <v>1.85</v>
      </c>
      <c r="AR48">
        <v>0.33</v>
      </c>
      <c r="AW48">
        <v>1.48</v>
      </c>
      <c r="AY48">
        <v>90</v>
      </c>
      <c r="AZ48">
        <v>95</v>
      </c>
      <c r="BA48">
        <v>93</v>
      </c>
      <c r="BB48">
        <v>91</v>
      </c>
      <c r="BC48">
        <v>94</v>
      </c>
      <c r="BD48">
        <v>94</v>
      </c>
      <c r="BE48">
        <v>92</v>
      </c>
      <c r="BF48">
        <v>95</v>
      </c>
      <c r="BG48">
        <v>92</v>
      </c>
      <c r="BH48">
        <v>88</v>
      </c>
      <c r="BI48">
        <v>92</v>
      </c>
      <c r="BL48">
        <v>86</v>
      </c>
      <c r="BQ48">
        <v>93</v>
      </c>
      <c r="BS48">
        <v>1.27</v>
      </c>
      <c r="BT48">
        <v>1</v>
      </c>
      <c r="BU48">
        <v>1.6</v>
      </c>
      <c r="BV48">
        <v>0.12</v>
      </c>
      <c r="BW48">
        <v>0.48</v>
      </c>
      <c r="BX48">
        <v>1.06</v>
      </c>
      <c r="BY48">
        <v>0.32</v>
      </c>
      <c r="CB48">
        <v>91</v>
      </c>
      <c r="CC48">
        <v>98</v>
      </c>
      <c r="CD48">
        <v>93</v>
      </c>
      <c r="CE48">
        <v>97</v>
      </c>
      <c r="CF48" s="4">
        <v>1.0433999999999928</v>
      </c>
      <c r="CH48" s="107">
        <v>31.622200000000003</v>
      </c>
      <c r="CI48" s="107">
        <v>1.0529999999999999</v>
      </c>
      <c r="CJ48" s="107">
        <v>0.85539999999999994</v>
      </c>
      <c r="CK48" s="107">
        <v>1.2904999999999998</v>
      </c>
      <c r="CL48" s="107">
        <v>2.7783999999999995</v>
      </c>
      <c r="CM48" s="107">
        <v>2.2263999999999999</v>
      </c>
      <c r="CN48" s="107">
        <v>0.74619999999999986</v>
      </c>
      <c r="CO48" s="107">
        <v>1.0134999999999998</v>
      </c>
      <c r="CP48" s="107">
        <v>1.4043000000000001</v>
      </c>
      <c r="CQ48" s="107">
        <v>2.7511000000000001</v>
      </c>
      <c r="CR48" s="107">
        <v>1.2671999999999999</v>
      </c>
      <c r="CS48" s="107">
        <v>0.39600000000000002</v>
      </c>
      <c r="CT48" s="107">
        <v>1.6465000000000001</v>
      </c>
      <c r="CU48" s="107"/>
      <c r="CV48" s="107">
        <v>33.093000000000004</v>
      </c>
      <c r="CW48" s="107">
        <f t="shared" si="56"/>
        <v>1.1114999999999999</v>
      </c>
      <c r="CX48" s="107">
        <f t="shared" si="57"/>
        <v>0.87419999999999998</v>
      </c>
      <c r="CY48" s="107">
        <f t="shared" si="58"/>
        <v>1.3194999999999999</v>
      </c>
      <c r="CZ48" s="107">
        <f t="shared" si="59"/>
        <v>2.8388</v>
      </c>
      <c r="DA48" s="107">
        <f t="shared" si="60"/>
        <v>2.2747999999999999</v>
      </c>
      <c r="DB48" s="107">
        <f t="shared" si="61"/>
        <v>0.75439999999999996</v>
      </c>
      <c r="DC48" s="107">
        <f t="shared" si="41"/>
        <v>1.0382</v>
      </c>
      <c r="DD48" s="107">
        <f t="shared" si="19"/>
        <v>1.4344999999999999</v>
      </c>
      <c r="DE48" s="107">
        <f t="shared" si="11"/>
        <v>2.8108999999999997</v>
      </c>
      <c r="DF48" s="107">
        <f t="shared" si="20"/>
        <v>1.3248</v>
      </c>
      <c r="DG48" s="107">
        <f t="shared" si="21"/>
        <v>0.38719999999999999</v>
      </c>
      <c r="DH48" s="107">
        <f t="shared" si="22"/>
        <v>1.7020000000000002</v>
      </c>
      <c r="DI48" s="107"/>
      <c r="DJ48" s="107"/>
      <c r="DK48" s="107"/>
      <c r="DL48" s="107"/>
      <c r="DM48" s="107"/>
      <c r="DN48" s="107"/>
      <c r="DO48" s="107"/>
      <c r="DP48" s="107"/>
      <c r="DQ48">
        <f t="shared" si="26"/>
        <v>0.96460000000000012</v>
      </c>
      <c r="DR48">
        <f t="shared" si="27"/>
        <v>1.0388000000000002</v>
      </c>
      <c r="DS48">
        <f t="shared" si="42"/>
        <v>1.1811</v>
      </c>
      <c r="DT48">
        <f t="shared" si="43"/>
        <v>1.2319</v>
      </c>
      <c r="DU48"/>
      <c r="DV48" s="32"/>
      <c r="DW48" s="54">
        <f t="shared" si="45"/>
        <v>2400</v>
      </c>
      <c r="DX48" s="33">
        <v>1.2</v>
      </c>
      <c r="DY48" s="34">
        <v>2700</v>
      </c>
      <c r="DZ48" s="34">
        <v>2700</v>
      </c>
      <c r="EA48" s="35">
        <v>0.91</v>
      </c>
      <c r="EB48" s="36">
        <f t="shared" si="62"/>
        <v>0.96460000000000012</v>
      </c>
      <c r="EC48" s="68">
        <v>0.01</v>
      </c>
      <c r="ED48" s="37">
        <v>50</v>
      </c>
      <c r="EE48" s="81">
        <v>0</v>
      </c>
      <c r="EF48" s="81"/>
      <c r="EG48" s="390"/>
      <c r="EH48" s="126">
        <f>44*K48/10</f>
        <v>3.96</v>
      </c>
      <c r="EI48" s="38">
        <f>IF(AR48="","",AR48*BL48)</f>
        <v>28.380000000000003</v>
      </c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48">
        <f t="shared" si="30"/>
        <v>0.5995491052557419</v>
      </c>
      <c r="FN48" s="48">
        <f t="shared" si="31"/>
        <v>0.46480907425672818</v>
      </c>
      <c r="FO48" s="142">
        <f t="shared" si="32"/>
        <v>1.2898825312618418</v>
      </c>
      <c r="FP48" s="142">
        <f t="shared" si="33"/>
        <v>0.13639566013808652</v>
      </c>
      <c r="FQ48" s="180">
        <f t="shared" si="34"/>
        <v>7.7204242589067162E-2</v>
      </c>
    </row>
    <row r="49" spans="1:173" x14ac:dyDescent="0.15">
      <c r="A49" s="134">
        <v>40</v>
      </c>
      <c r="B49" t="s">
        <v>253</v>
      </c>
      <c r="C49">
        <v>3647</v>
      </c>
      <c r="D49">
        <v>3494</v>
      </c>
      <c r="E49">
        <v>3415</v>
      </c>
      <c r="F49">
        <v>2704</v>
      </c>
      <c r="H49">
        <v>97.15</v>
      </c>
      <c r="I49">
        <v>11.55</v>
      </c>
      <c r="J49">
        <v>0.08</v>
      </c>
      <c r="K49">
        <v>0.83</v>
      </c>
      <c r="M49">
        <v>8</v>
      </c>
      <c r="N49">
        <v>72.88</v>
      </c>
      <c r="T49">
        <v>0</v>
      </c>
      <c r="V49">
        <v>0</v>
      </c>
      <c r="AB49">
        <v>3.8900000000000148</v>
      </c>
      <c r="AC49">
        <v>76</v>
      </c>
      <c r="AD49" s="136">
        <v>39.112400000000008</v>
      </c>
      <c r="AF49">
        <v>0.26</v>
      </c>
      <c r="AG49">
        <v>0.21</v>
      </c>
      <c r="AH49">
        <v>0.64</v>
      </c>
      <c r="AI49">
        <v>1.1100000000000001</v>
      </c>
      <c r="AJ49">
        <v>0.88</v>
      </c>
      <c r="AK49">
        <v>0.17</v>
      </c>
      <c r="AL49">
        <v>0.35</v>
      </c>
      <c r="AM49">
        <v>0.71</v>
      </c>
      <c r="AN49">
        <v>0.2</v>
      </c>
      <c r="AO49">
        <v>0.61</v>
      </c>
      <c r="AR49">
        <v>0.26</v>
      </c>
      <c r="AW49">
        <v>0.27</v>
      </c>
      <c r="AY49">
        <v>102</v>
      </c>
      <c r="AZ49">
        <v>98</v>
      </c>
      <c r="BA49">
        <v>96</v>
      </c>
      <c r="BB49">
        <v>96</v>
      </c>
      <c r="BC49">
        <v>98</v>
      </c>
      <c r="BD49">
        <v>97</v>
      </c>
      <c r="BE49">
        <v>98</v>
      </c>
      <c r="BF49">
        <v>90</v>
      </c>
      <c r="BG49">
        <v>89</v>
      </c>
      <c r="BH49">
        <v>97</v>
      </c>
      <c r="BI49">
        <v>96</v>
      </c>
      <c r="BL49">
        <v>93</v>
      </c>
      <c r="BQ49">
        <v>97</v>
      </c>
      <c r="BS49">
        <v>0.62</v>
      </c>
      <c r="BT49">
        <v>1.4</v>
      </c>
      <c r="BU49">
        <v>1.96</v>
      </c>
      <c r="BV49">
        <v>0.13</v>
      </c>
      <c r="BW49">
        <v>0.94</v>
      </c>
      <c r="BX49">
        <v>0.69</v>
      </c>
      <c r="BY49">
        <v>0.72</v>
      </c>
      <c r="CB49">
        <v>82</v>
      </c>
      <c r="CC49">
        <v>92</v>
      </c>
      <c r="CD49">
        <v>96</v>
      </c>
      <c r="CE49">
        <v>96</v>
      </c>
      <c r="CF49" s="4">
        <v>2.956400000000011</v>
      </c>
      <c r="CH49" s="107">
        <v>10.048500000000001</v>
      </c>
      <c r="CI49" s="107">
        <v>0.21580000000000002</v>
      </c>
      <c r="CJ49" s="107">
        <v>0.18899999999999997</v>
      </c>
      <c r="CK49" s="107">
        <v>0.60160000000000002</v>
      </c>
      <c r="CL49" s="107">
        <v>1.0434000000000001</v>
      </c>
      <c r="CM49" s="107">
        <v>0.82719999999999994</v>
      </c>
      <c r="CN49" s="107">
        <v>0.16150000000000003</v>
      </c>
      <c r="CO49" s="107">
        <v>0.3851</v>
      </c>
      <c r="CP49" s="107">
        <v>0.27299999999999996</v>
      </c>
      <c r="CQ49" s="107">
        <v>0.50519999999999998</v>
      </c>
      <c r="CR49" s="107">
        <v>0.60349999999999993</v>
      </c>
      <c r="CS49" s="107">
        <v>0.15600000000000003</v>
      </c>
      <c r="CT49" s="107">
        <v>0.55509999999999993</v>
      </c>
      <c r="CU49" s="107"/>
      <c r="CV49" s="107">
        <v>11.781000000000001</v>
      </c>
      <c r="CW49" s="107">
        <f t="shared" si="56"/>
        <v>0.25480000000000003</v>
      </c>
      <c r="CX49" s="107">
        <f t="shared" si="57"/>
        <v>0.2016</v>
      </c>
      <c r="CY49" s="107">
        <f t="shared" si="58"/>
        <v>0.61439999999999995</v>
      </c>
      <c r="CZ49" s="107">
        <f t="shared" si="59"/>
        <v>1.0878000000000001</v>
      </c>
      <c r="DA49" s="107">
        <f t="shared" si="60"/>
        <v>0.85360000000000003</v>
      </c>
      <c r="DB49" s="107">
        <f t="shared" si="61"/>
        <v>0.1666</v>
      </c>
      <c r="DC49" s="107">
        <f t="shared" si="41"/>
        <v>0.40840000000000004</v>
      </c>
      <c r="DD49" s="107">
        <f t="shared" si="19"/>
        <v>0.31499999999999995</v>
      </c>
      <c r="DE49" s="107">
        <f t="shared" si="11"/>
        <v>0.57689999999999997</v>
      </c>
      <c r="DF49" s="107">
        <f t="shared" si="20"/>
        <v>0.63190000000000002</v>
      </c>
      <c r="DG49" s="107">
        <f t="shared" si="21"/>
        <v>0.19400000000000003</v>
      </c>
      <c r="DH49" s="107">
        <f t="shared" si="22"/>
        <v>0.58560000000000001</v>
      </c>
      <c r="DI49" s="107"/>
      <c r="DJ49" s="107"/>
      <c r="DK49" s="107"/>
      <c r="DL49" s="107"/>
      <c r="DM49" s="107"/>
      <c r="DN49" s="107"/>
      <c r="DO49" s="107"/>
      <c r="DP49" s="107"/>
      <c r="DQ49">
        <f t="shared" si="26"/>
        <v>0.56579999999999997</v>
      </c>
      <c r="DR49">
        <f t="shared" si="27"/>
        <v>0.63479999999999992</v>
      </c>
      <c r="DS49">
        <f t="shared" si="42"/>
        <v>0.59519999999999995</v>
      </c>
      <c r="DT49">
        <f t="shared" si="43"/>
        <v>0.59519999999999995</v>
      </c>
      <c r="DU49"/>
      <c r="DV49" s="39"/>
      <c r="DW49" s="54">
        <f t="shared" si="45"/>
        <v>1100</v>
      </c>
      <c r="DX49" s="33">
        <v>0.55000000000000004</v>
      </c>
      <c r="DY49" s="34">
        <v>2840</v>
      </c>
      <c r="DZ49" s="34">
        <v>2800</v>
      </c>
      <c r="EA49" s="35">
        <v>0.97</v>
      </c>
      <c r="EB49" s="36">
        <f t="shared" si="62"/>
        <v>0.6692999999999999</v>
      </c>
      <c r="EC49" s="37">
        <v>1.1000000000000001</v>
      </c>
      <c r="ED49" s="37">
        <v>72</v>
      </c>
      <c r="EE49" s="81">
        <v>0</v>
      </c>
      <c r="EF49" s="81"/>
      <c r="EG49" s="390"/>
      <c r="EH49" s="126">
        <f>44*K49/10</f>
        <v>3.6519999999999997</v>
      </c>
      <c r="EI49" s="38">
        <f>IF(AR49="","",AR49*BL49)</f>
        <v>24.18</v>
      </c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48">
        <f t="shared" si="30"/>
        <v>0.53833425261996681</v>
      </c>
      <c r="FN49" s="48">
        <f t="shared" si="31"/>
        <v>0.56480970766685046</v>
      </c>
      <c r="FO49" s="142">
        <f t="shared" si="32"/>
        <v>0.95312500000000011</v>
      </c>
      <c r="FP49" s="142">
        <f t="shared" si="33"/>
        <v>0.17834160691303549</v>
      </c>
      <c r="FQ49" s="180">
        <f t="shared" si="34"/>
        <v>9.4181818181818186E-2</v>
      </c>
    </row>
    <row r="50" spans="1:173" ht="12.75" customHeight="1" x14ac:dyDescent="0.15">
      <c r="A50" s="134">
        <v>41</v>
      </c>
      <c r="B50" s="146" t="s">
        <v>348</v>
      </c>
      <c r="C50">
        <v>3657</v>
      </c>
      <c r="D50">
        <v>3626</v>
      </c>
      <c r="E50">
        <v>3606</v>
      </c>
      <c r="F50">
        <v>2922</v>
      </c>
      <c r="H50">
        <v>98</v>
      </c>
      <c r="I50">
        <v>3</v>
      </c>
      <c r="K50">
        <v>0.2</v>
      </c>
      <c r="M50">
        <v>9</v>
      </c>
      <c r="N50" s="139">
        <v>80</v>
      </c>
      <c r="T50">
        <v>0</v>
      </c>
      <c r="V50">
        <v>0</v>
      </c>
      <c r="AB50">
        <v>0.79999999999999716</v>
      </c>
      <c r="AC50">
        <v>76</v>
      </c>
      <c r="AD50" s="136">
        <v>37.801999999999992</v>
      </c>
      <c r="AH50">
        <v>0.13</v>
      </c>
      <c r="AI50">
        <v>0.22</v>
      </c>
      <c r="AJ50">
        <v>0.2</v>
      </c>
      <c r="AK50">
        <v>0.04</v>
      </c>
      <c r="AM50">
        <v>0.13</v>
      </c>
      <c r="AN50">
        <v>0.13</v>
      </c>
      <c r="AO50">
        <v>0.13</v>
      </c>
      <c r="AR50">
        <v>0.05</v>
      </c>
      <c r="AY50" s="139">
        <f>AY49</f>
        <v>102</v>
      </c>
      <c r="AZ50" s="139">
        <f t="shared" ref="AZ50:BQ50" si="63">AZ49</f>
        <v>98</v>
      </c>
      <c r="BA50" s="139">
        <f t="shared" si="63"/>
        <v>96</v>
      </c>
      <c r="BB50" s="139">
        <f t="shared" si="63"/>
        <v>96</v>
      </c>
      <c r="BC50" s="139">
        <f t="shared" si="63"/>
        <v>98</v>
      </c>
      <c r="BD50" s="139">
        <f t="shared" si="63"/>
        <v>97</v>
      </c>
      <c r="BE50" s="139">
        <f t="shared" si="63"/>
        <v>98</v>
      </c>
      <c r="BF50" s="139">
        <f t="shared" si="63"/>
        <v>90</v>
      </c>
      <c r="BG50" s="139">
        <f t="shared" si="63"/>
        <v>89</v>
      </c>
      <c r="BH50" s="139">
        <f t="shared" si="63"/>
        <v>97</v>
      </c>
      <c r="BI50" s="139">
        <f t="shared" si="63"/>
        <v>96</v>
      </c>
      <c r="BJ50" s="139"/>
      <c r="BK50" s="139"/>
      <c r="BL50" s="139">
        <f t="shared" si="63"/>
        <v>93</v>
      </c>
      <c r="BM50" s="139"/>
      <c r="BN50" s="139"/>
      <c r="BO50" s="139"/>
      <c r="BP50" s="139"/>
      <c r="BQ50" s="139">
        <f t="shared" si="63"/>
        <v>97</v>
      </c>
      <c r="BS50">
        <v>0.27</v>
      </c>
      <c r="BT50" s="139">
        <v>2.23</v>
      </c>
      <c r="BU50" s="139">
        <v>2.1</v>
      </c>
      <c r="BV50" s="139"/>
      <c r="BW50" s="139">
        <v>1</v>
      </c>
      <c r="BX50">
        <v>0.34</v>
      </c>
      <c r="CB50">
        <v>82</v>
      </c>
      <c r="CC50">
        <v>92</v>
      </c>
      <c r="CD50">
        <v>58</v>
      </c>
      <c r="CE50">
        <v>71</v>
      </c>
      <c r="CF50" s="4">
        <v>0.60799999999999788</v>
      </c>
      <c r="CH50" s="107">
        <v>0</v>
      </c>
      <c r="CI50" s="107">
        <v>0</v>
      </c>
      <c r="CJ50" s="107">
        <v>0</v>
      </c>
      <c r="CK50" s="107">
        <v>0</v>
      </c>
      <c r="CL50" s="107">
        <v>0</v>
      </c>
      <c r="CM50" s="107">
        <v>0</v>
      </c>
      <c r="CN50" s="107">
        <v>0</v>
      </c>
      <c r="CO50" s="107">
        <v>0</v>
      </c>
      <c r="CP50" s="107">
        <v>0</v>
      </c>
      <c r="CQ50" s="107">
        <v>0</v>
      </c>
      <c r="CR50" s="107">
        <v>0</v>
      </c>
      <c r="CS50" s="107">
        <v>0</v>
      </c>
      <c r="CT50" s="107">
        <v>0</v>
      </c>
      <c r="CU50" s="107"/>
      <c r="CV50" s="107">
        <v>0</v>
      </c>
      <c r="CW50" s="107">
        <f t="shared" si="56"/>
        <v>0</v>
      </c>
      <c r="CX50" s="107">
        <f t="shared" si="57"/>
        <v>0</v>
      </c>
      <c r="CY50" s="107">
        <f t="shared" si="58"/>
        <v>0.12480000000000001</v>
      </c>
      <c r="CZ50" s="107">
        <f t="shared" si="59"/>
        <v>0.21559999999999999</v>
      </c>
      <c r="DA50" s="107">
        <f t="shared" si="60"/>
        <v>0.19400000000000003</v>
      </c>
      <c r="DB50" s="107">
        <f t="shared" si="61"/>
        <v>3.9199999999999999E-2</v>
      </c>
      <c r="DC50" s="107">
        <f t="shared" si="41"/>
        <v>8.5699999999999998E-2</v>
      </c>
      <c r="DD50" s="107">
        <f t="shared" si="19"/>
        <v>0</v>
      </c>
      <c r="DE50" s="107">
        <f t="shared" si="11"/>
        <v>0</v>
      </c>
      <c r="DF50" s="107">
        <f t="shared" si="20"/>
        <v>0.1157</v>
      </c>
      <c r="DG50" s="107">
        <f t="shared" si="21"/>
        <v>0.12610000000000002</v>
      </c>
      <c r="DH50" s="107">
        <f t="shared" si="22"/>
        <v>0.12480000000000001</v>
      </c>
      <c r="DI50" s="107"/>
      <c r="DJ50" s="107"/>
      <c r="DK50" s="107"/>
      <c r="DL50" s="107"/>
      <c r="DM50" s="107"/>
      <c r="DN50" s="107"/>
      <c r="DO50" s="107"/>
      <c r="DP50" s="107"/>
      <c r="DQ50">
        <f t="shared" si="26"/>
        <v>0.27880000000000005</v>
      </c>
      <c r="DR50">
        <f t="shared" si="27"/>
        <v>0.31280000000000002</v>
      </c>
      <c r="DS50">
        <f t="shared" si="42"/>
        <v>0.15659999999999999</v>
      </c>
      <c r="DT50">
        <f t="shared" si="43"/>
        <v>0.19170000000000001</v>
      </c>
      <c r="DU50"/>
      <c r="DV50" s="32"/>
      <c r="DW50" s="54">
        <f t="shared" si="45"/>
        <v>900</v>
      </c>
      <c r="DX50" s="33">
        <v>0.45</v>
      </c>
      <c r="DY50" s="95">
        <v>2840</v>
      </c>
      <c r="DZ50" s="95">
        <v>2800</v>
      </c>
      <c r="EA50" s="35">
        <v>0.97</v>
      </c>
      <c r="EB50" s="36">
        <f t="shared" si="62"/>
        <v>0.32980000000000004</v>
      </c>
      <c r="EC50" s="125">
        <v>0</v>
      </c>
      <c r="ED50" s="37">
        <v>80</v>
      </c>
      <c r="EE50" s="81">
        <v>0</v>
      </c>
      <c r="EF50" s="81"/>
      <c r="EG50" s="390"/>
      <c r="EH50" s="126">
        <f>44*K50/10</f>
        <v>0.88000000000000012</v>
      </c>
      <c r="EI50" s="38">
        <f>IF(AR50="","",AR50*BL50)</f>
        <v>4.6500000000000004</v>
      </c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48">
        <f t="shared" si="30"/>
        <v>0.57884972170686466</v>
      </c>
      <c r="FN50" s="48">
        <f t="shared" si="31"/>
        <v>0.57884972170686466</v>
      </c>
      <c r="FO50" s="142">
        <f t="shared" si="32"/>
        <v>1</v>
      </c>
      <c r="FP50" s="142">
        <f t="shared" si="33"/>
        <v>0.58487940630797786</v>
      </c>
      <c r="FQ50" s="180">
        <f t="shared" si="34"/>
        <v>7.1866666666666662E-2</v>
      </c>
    </row>
    <row r="51" spans="1:173" ht="12.75" customHeight="1" x14ac:dyDescent="0.15">
      <c r="A51" s="134">
        <v>42</v>
      </c>
      <c r="B51" t="s">
        <v>254</v>
      </c>
      <c r="C51">
        <v>5245</v>
      </c>
      <c r="D51">
        <v>4949</v>
      </c>
      <c r="E51">
        <v>4430</v>
      </c>
      <c r="F51">
        <v>2797</v>
      </c>
      <c r="H51">
        <v>94.4</v>
      </c>
      <c r="I51">
        <v>76.319999999999993</v>
      </c>
      <c r="J51">
        <v>1.33</v>
      </c>
      <c r="K51">
        <v>0.2</v>
      </c>
      <c r="M51">
        <v>2.63</v>
      </c>
      <c r="N51">
        <v>5</v>
      </c>
      <c r="T51">
        <v>0</v>
      </c>
      <c r="V51">
        <v>0</v>
      </c>
      <c r="AB51">
        <v>10.250000000000014</v>
      </c>
      <c r="AC51">
        <v>76</v>
      </c>
      <c r="AD51" s="136">
        <v>47.314100000000003</v>
      </c>
      <c r="AF51">
        <v>2.0099999999999998</v>
      </c>
      <c r="AG51">
        <v>1.46</v>
      </c>
      <c r="AH51">
        <v>4.74</v>
      </c>
      <c r="AI51">
        <v>8.43</v>
      </c>
      <c r="AJ51">
        <v>6.85</v>
      </c>
      <c r="AK51">
        <v>1.65</v>
      </c>
      <c r="AL51">
        <v>2.7</v>
      </c>
      <c r="AM51">
        <v>4.82</v>
      </c>
      <c r="AN51">
        <v>1.59</v>
      </c>
      <c r="AO51">
        <v>4.54</v>
      </c>
      <c r="AR51">
        <v>1.79</v>
      </c>
      <c r="AW51">
        <v>2.34</v>
      </c>
      <c r="AY51">
        <v>86</v>
      </c>
      <c r="AZ51">
        <v>93</v>
      </c>
      <c r="BA51">
        <v>92</v>
      </c>
      <c r="BB51">
        <v>95</v>
      </c>
      <c r="BC51">
        <v>95</v>
      </c>
      <c r="BD51">
        <v>93</v>
      </c>
      <c r="BE51">
        <v>96</v>
      </c>
      <c r="BF51">
        <v>87</v>
      </c>
      <c r="BG51">
        <v>85</v>
      </c>
      <c r="BH51">
        <v>95</v>
      </c>
      <c r="BI51">
        <v>95</v>
      </c>
      <c r="BL51">
        <v>85</v>
      </c>
      <c r="BQ51">
        <v>86</v>
      </c>
      <c r="BS51">
        <v>0.63</v>
      </c>
      <c r="BX51">
        <v>0.38</v>
      </c>
      <c r="CB51">
        <v>82</v>
      </c>
      <c r="CC51">
        <v>92</v>
      </c>
      <c r="CF51" s="4">
        <v>7.7900000000000116</v>
      </c>
      <c r="CH51" s="107">
        <v>64.108799999999988</v>
      </c>
      <c r="CI51" s="107">
        <v>1.7687999999999999</v>
      </c>
      <c r="CJ51" s="107">
        <v>1.2556</v>
      </c>
      <c r="CK51" s="107">
        <v>4.2186000000000003</v>
      </c>
      <c r="CL51" s="107">
        <v>7.5869999999999997</v>
      </c>
      <c r="CM51" s="107">
        <v>6.3019999999999996</v>
      </c>
      <c r="CN51" s="107">
        <v>1.5015000000000001</v>
      </c>
      <c r="CO51" s="107">
        <v>3.0051000000000001</v>
      </c>
      <c r="CP51" s="107">
        <v>2.214</v>
      </c>
      <c r="CQ51" s="107">
        <v>4.1093999999999999</v>
      </c>
      <c r="CR51" s="107">
        <v>4.0006000000000004</v>
      </c>
      <c r="CS51" s="107">
        <v>1.3992000000000002</v>
      </c>
      <c r="CT51" s="107">
        <v>4.0860000000000003</v>
      </c>
      <c r="CU51" s="107"/>
      <c r="CV51" s="107">
        <v>65.635199999999998</v>
      </c>
      <c r="CW51" s="107">
        <f t="shared" si="56"/>
        <v>1.8692999999999997</v>
      </c>
      <c r="CX51" s="107">
        <f t="shared" si="57"/>
        <v>1.3431999999999999</v>
      </c>
      <c r="CY51" s="107">
        <f t="shared" si="58"/>
        <v>4.5030000000000001</v>
      </c>
      <c r="CZ51" s="107">
        <f t="shared" si="59"/>
        <v>8.0084999999999997</v>
      </c>
      <c r="DA51" s="107">
        <f t="shared" si="60"/>
        <v>6.3704999999999998</v>
      </c>
      <c r="DB51" s="107">
        <f t="shared" si="61"/>
        <v>1.5839999999999999</v>
      </c>
      <c r="DC51" s="107">
        <f t="shared" si="41"/>
        <v>3.1054999999999997</v>
      </c>
      <c r="DD51" s="107">
        <f t="shared" si="19"/>
        <v>2.3490000000000002</v>
      </c>
      <c r="DE51" s="107">
        <f t="shared" si="11"/>
        <v>4.3613999999999997</v>
      </c>
      <c r="DF51" s="107">
        <f t="shared" si="20"/>
        <v>4.0970000000000004</v>
      </c>
      <c r="DG51" s="107">
        <f t="shared" si="21"/>
        <v>1.5105000000000002</v>
      </c>
      <c r="DH51" s="107">
        <f t="shared" si="22"/>
        <v>4.3129999999999997</v>
      </c>
      <c r="DI51" s="107"/>
      <c r="DJ51" s="107"/>
      <c r="DK51" s="107"/>
      <c r="DL51" s="107"/>
      <c r="DM51" s="107"/>
      <c r="DN51" s="107"/>
      <c r="DO51" s="107"/>
      <c r="DP51" s="107"/>
      <c r="DQ51">
        <f t="shared" si="26"/>
        <v>0.31159999999999999</v>
      </c>
      <c r="DR51">
        <f t="shared" si="27"/>
        <v>0.34960000000000002</v>
      </c>
      <c r="DS51">
        <f t="shared" si="42"/>
        <v>0</v>
      </c>
      <c r="DT51">
        <f t="shared" si="43"/>
        <v>0</v>
      </c>
      <c r="DU51"/>
      <c r="DV51" s="32"/>
      <c r="DW51" s="54">
        <f t="shared" si="45"/>
        <v>0</v>
      </c>
      <c r="DX51" s="33"/>
      <c r="DY51" s="34"/>
      <c r="DZ51" s="34"/>
      <c r="EA51" s="35"/>
      <c r="EB51" s="36">
        <f t="shared" si="62"/>
        <v>0</v>
      </c>
      <c r="EC51" s="37"/>
      <c r="ED51" s="80"/>
      <c r="EE51" s="81"/>
      <c r="EF51" s="81"/>
      <c r="EG51" s="390"/>
      <c r="EH51" s="70"/>
      <c r="EI51" s="38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48">
        <f t="shared" si="30"/>
        <v>0.53855278766310788</v>
      </c>
      <c r="FN51" s="48">
        <f t="shared" si="31"/>
        <v>0.56227758007117445</v>
      </c>
      <c r="FO51" s="142">
        <f t="shared" si="32"/>
        <v>0.95780590717299574</v>
      </c>
      <c r="FP51" s="142">
        <f t="shared" si="33"/>
        <v>0.18861209964412814</v>
      </c>
      <c r="FQ51" s="180">
        <f t="shared" si="34"/>
        <v>0.10493317610062894</v>
      </c>
    </row>
    <row r="52" spans="1:173" ht="12.75" customHeight="1" x14ac:dyDescent="0.15">
      <c r="A52" s="134">
        <v>43</v>
      </c>
      <c r="B52" t="s">
        <v>255</v>
      </c>
      <c r="C52">
        <v>4472</v>
      </c>
      <c r="D52">
        <v>3020</v>
      </c>
      <c r="E52">
        <v>2939</v>
      </c>
      <c r="F52">
        <v>2218</v>
      </c>
      <c r="H52">
        <v>88.5</v>
      </c>
      <c r="I52">
        <v>11.9</v>
      </c>
      <c r="K52">
        <v>4.25</v>
      </c>
      <c r="M52">
        <v>3.2</v>
      </c>
      <c r="T52">
        <v>54.95</v>
      </c>
      <c r="U52">
        <v>15.8</v>
      </c>
      <c r="V52">
        <v>13.8</v>
      </c>
      <c r="X52">
        <v>4.78</v>
      </c>
      <c r="AB52">
        <v>14.199999999999989</v>
      </c>
      <c r="AC52">
        <v>24</v>
      </c>
      <c r="AD52" s="136">
        <v>40.104999999999997</v>
      </c>
      <c r="AF52">
        <v>0.56999999999999995</v>
      </c>
      <c r="AG52">
        <v>0.28999999999999998</v>
      </c>
      <c r="AH52">
        <v>0.49</v>
      </c>
      <c r="AI52">
        <v>1.22</v>
      </c>
      <c r="AJ52">
        <v>0.37</v>
      </c>
      <c r="AK52">
        <v>0.28000000000000003</v>
      </c>
      <c r="AL52">
        <v>0.55000000000000004</v>
      </c>
      <c r="AM52">
        <v>0.45</v>
      </c>
      <c r="AN52">
        <v>0.17</v>
      </c>
      <c r="AO52">
        <v>0.66</v>
      </c>
      <c r="AR52">
        <v>0.32</v>
      </c>
      <c r="AW52">
        <v>0.57999999999999996</v>
      </c>
      <c r="AY52">
        <v>88</v>
      </c>
      <c r="AZ52">
        <v>89</v>
      </c>
      <c r="BA52">
        <v>90</v>
      </c>
      <c r="BB52">
        <v>89</v>
      </c>
      <c r="BC52">
        <v>91</v>
      </c>
      <c r="BD52">
        <v>83</v>
      </c>
      <c r="BE52">
        <v>75</v>
      </c>
      <c r="BF52">
        <v>91</v>
      </c>
      <c r="BG52">
        <v>86</v>
      </c>
      <c r="BH52">
        <v>97</v>
      </c>
      <c r="BI52">
        <v>87</v>
      </c>
      <c r="BL52">
        <v>88</v>
      </c>
      <c r="BQ52">
        <v>86</v>
      </c>
      <c r="BS52">
        <v>0.03</v>
      </c>
      <c r="BT52">
        <v>0.03</v>
      </c>
      <c r="BU52">
        <v>0.43</v>
      </c>
      <c r="BV52">
        <v>0.16</v>
      </c>
      <c r="BW52">
        <v>0.04</v>
      </c>
      <c r="BX52">
        <v>0.31</v>
      </c>
      <c r="BY52">
        <v>0.14000000000000001</v>
      </c>
      <c r="CB52">
        <v>50</v>
      </c>
      <c r="CC52">
        <v>55</v>
      </c>
      <c r="CF52" s="4">
        <v>3.4079999999999973</v>
      </c>
      <c r="CH52" s="107">
        <v>9.4009999999999998</v>
      </c>
      <c r="CI52" s="107">
        <v>0.46739999999999993</v>
      </c>
      <c r="CJ52" s="107">
        <v>0.2465</v>
      </c>
      <c r="CK52" s="107">
        <v>0.40670000000000001</v>
      </c>
      <c r="CL52" s="107">
        <v>1.0613999999999999</v>
      </c>
      <c r="CM52" s="107">
        <v>0.27379999999999999</v>
      </c>
      <c r="CN52" s="107">
        <v>0.20160000000000003</v>
      </c>
      <c r="CO52" s="107">
        <v>0.46400000000000008</v>
      </c>
      <c r="CP52" s="107">
        <v>0.46750000000000008</v>
      </c>
      <c r="CQ52" s="107">
        <v>0.93730000000000002</v>
      </c>
      <c r="CR52" s="107">
        <v>0.33750000000000002</v>
      </c>
      <c r="CS52" s="107">
        <v>0.14280000000000001</v>
      </c>
      <c r="CT52" s="107">
        <v>0.53459999999999996</v>
      </c>
      <c r="CU52" s="107"/>
      <c r="CV52" s="107">
        <v>10.472000000000001</v>
      </c>
      <c r="CW52" s="107">
        <f t="shared" si="56"/>
        <v>0.50729999999999997</v>
      </c>
      <c r="CX52" s="107">
        <f t="shared" si="57"/>
        <v>0.26099999999999995</v>
      </c>
      <c r="CY52" s="107">
        <f t="shared" si="58"/>
        <v>0.43609999999999999</v>
      </c>
      <c r="CZ52" s="107">
        <f t="shared" si="59"/>
        <v>1.1101999999999999</v>
      </c>
      <c r="DA52" s="107">
        <f t="shared" si="60"/>
        <v>0.30709999999999998</v>
      </c>
      <c r="DB52" s="107">
        <f t="shared" si="61"/>
        <v>0.21000000000000005</v>
      </c>
      <c r="DC52" s="107">
        <f t="shared" si="41"/>
        <v>0.49160000000000004</v>
      </c>
      <c r="DD52" s="107">
        <f t="shared" si="19"/>
        <v>0.50050000000000006</v>
      </c>
      <c r="DE52" s="107">
        <f t="shared" si="11"/>
        <v>0.99930000000000008</v>
      </c>
      <c r="DF52" s="107">
        <f t="shared" si="20"/>
        <v>0.38700000000000001</v>
      </c>
      <c r="DG52" s="107">
        <f t="shared" si="21"/>
        <v>0.16490000000000002</v>
      </c>
      <c r="DH52" s="107">
        <f t="shared" si="22"/>
        <v>0.57420000000000004</v>
      </c>
      <c r="DI52" s="107"/>
      <c r="DJ52" s="107"/>
      <c r="DK52" s="107"/>
      <c r="DL52" s="107"/>
      <c r="DM52" s="107"/>
      <c r="DN52" s="107"/>
      <c r="DO52" s="107"/>
      <c r="DP52" s="107"/>
      <c r="DQ52">
        <f t="shared" si="26"/>
        <v>0.155</v>
      </c>
      <c r="DR52">
        <f t="shared" si="27"/>
        <v>0.17050000000000001</v>
      </c>
      <c r="DS52">
        <f t="shared" si="42"/>
        <v>0</v>
      </c>
      <c r="DT52">
        <f t="shared" si="43"/>
        <v>0</v>
      </c>
      <c r="DU52"/>
      <c r="DV52" s="32"/>
      <c r="DW52" s="54">
        <f t="shared" si="45"/>
        <v>0</v>
      </c>
      <c r="DX52" s="33"/>
      <c r="DY52" s="43"/>
      <c r="DZ52" s="43"/>
      <c r="EA52" s="35"/>
      <c r="EB52" s="36">
        <f t="shared" si="62"/>
        <v>0</v>
      </c>
      <c r="EC52" s="37"/>
      <c r="ED52" s="80"/>
      <c r="EE52" s="81"/>
      <c r="EF52" s="81"/>
      <c r="EG52" s="390">
        <v>0.18</v>
      </c>
      <c r="EH52" s="70"/>
      <c r="EI52" s="38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48">
        <f t="shared" si="30"/>
        <v>0.5172041073680419</v>
      </c>
      <c r="FN52" s="48">
        <f t="shared" si="31"/>
        <v>0.39281210592686006</v>
      </c>
      <c r="FO52" s="142">
        <f t="shared" si="32"/>
        <v>1.3166704884200873</v>
      </c>
      <c r="FP52" s="142">
        <f t="shared" si="33"/>
        <v>0.14853179607277972</v>
      </c>
      <c r="FQ52" s="180">
        <f t="shared" si="34"/>
        <v>9.3294117647058805E-2</v>
      </c>
    </row>
    <row r="53" spans="1:173" ht="12.75" customHeight="1" x14ac:dyDescent="0.15">
      <c r="A53" s="134">
        <v>44</v>
      </c>
      <c r="B53" t="s">
        <v>256</v>
      </c>
      <c r="C53">
        <v>3045</v>
      </c>
      <c r="D53">
        <v>2366</v>
      </c>
      <c r="E53">
        <v>2298</v>
      </c>
      <c r="F53">
        <v>1795</v>
      </c>
      <c r="H53">
        <v>72.2</v>
      </c>
      <c r="I53">
        <v>10</v>
      </c>
      <c r="K53">
        <v>0.16</v>
      </c>
      <c r="M53">
        <v>6.3</v>
      </c>
      <c r="O53">
        <v>47.5</v>
      </c>
      <c r="T53">
        <v>0</v>
      </c>
      <c r="V53">
        <v>0.08</v>
      </c>
      <c r="AB53">
        <v>8.2400000000000091</v>
      </c>
      <c r="AC53">
        <v>53</v>
      </c>
      <c r="AD53" s="136">
        <v>29.079600000000006</v>
      </c>
      <c r="AF53">
        <v>0.06</v>
      </c>
      <c r="AG53">
        <v>0.04</v>
      </c>
      <c r="AH53">
        <v>0.24</v>
      </c>
      <c r="AI53">
        <v>0.24</v>
      </c>
      <c r="AJ53">
        <v>0.1</v>
      </c>
      <c r="AK53">
        <v>0.03</v>
      </c>
      <c r="AL53">
        <v>0.06</v>
      </c>
      <c r="AM53">
        <v>0.08</v>
      </c>
      <c r="AN53">
        <v>0.05</v>
      </c>
      <c r="AO53">
        <v>0.15</v>
      </c>
      <c r="AR53">
        <v>0.05</v>
      </c>
      <c r="AW53">
        <v>0.24</v>
      </c>
      <c r="AY53" s="23">
        <v>88.25</v>
      </c>
      <c r="AZ53">
        <v>92</v>
      </c>
      <c r="BA53">
        <v>90</v>
      </c>
      <c r="BB53">
        <v>88</v>
      </c>
      <c r="BC53">
        <v>89</v>
      </c>
      <c r="BD53">
        <v>86</v>
      </c>
      <c r="BE53">
        <v>90</v>
      </c>
      <c r="BF53">
        <v>90</v>
      </c>
      <c r="BG53">
        <v>86</v>
      </c>
      <c r="BH53">
        <v>86</v>
      </c>
      <c r="BI53">
        <v>87</v>
      </c>
      <c r="BL53">
        <v>84</v>
      </c>
      <c r="BQ53">
        <v>91</v>
      </c>
      <c r="BS53">
        <v>0.25</v>
      </c>
      <c r="BX53">
        <v>0.16</v>
      </c>
      <c r="CB53">
        <v>50</v>
      </c>
      <c r="CC53">
        <v>63</v>
      </c>
      <c r="CF53" s="4">
        <v>4.3672000000000049</v>
      </c>
      <c r="CH53" s="107">
        <v>8.6</v>
      </c>
      <c r="CI53" s="107">
        <v>0</v>
      </c>
      <c r="CJ53" s="107">
        <v>0</v>
      </c>
      <c r="CK53" s="107">
        <v>0.18960000000000002</v>
      </c>
      <c r="CL53" s="107">
        <v>0.17759999999999998</v>
      </c>
      <c r="CM53" s="107">
        <v>3.7000000000000005E-2</v>
      </c>
      <c r="CN53" s="107">
        <v>2.0400000000000001E-2</v>
      </c>
      <c r="CO53" s="107">
        <v>4.2400000000000007E-2</v>
      </c>
      <c r="CP53" s="107">
        <v>2.76E-2</v>
      </c>
      <c r="CQ53" s="107">
        <v>0.22199999999999998</v>
      </c>
      <c r="CR53" s="107">
        <v>2.5600000000000001E-2</v>
      </c>
      <c r="CS53" s="107">
        <v>2.2000000000000002E-2</v>
      </c>
      <c r="CT53" s="107">
        <v>8.8499999999999995E-2</v>
      </c>
      <c r="CU53" s="107"/>
      <c r="CV53" s="107">
        <v>8.8249999999999993</v>
      </c>
      <c r="CW53" s="107">
        <f t="shared" si="56"/>
        <v>5.5199999999999999E-2</v>
      </c>
      <c r="CX53" s="107">
        <f t="shared" si="57"/>
        <v>3.6000000000000004E-2</v>
      </c>
      <c r="CY53" s="107">
        <f t="shared" si="58"/>
        <v>0.21119999999999997</v>
      </c>
      <c r="CZ53" s="107">
        <f t="shared" si="59"/>
        <v>0.21359999999999998</v>
      </c>
      <c r="DA53" s="107">
        <f t="shared" si="60"/>
        <v>8.5999999999999993E-2</v>
      </c>
      <c r="DB53" s="107">
        <f t="shared" si="61"/>
        <v>2.6999999999999996E-2</v>
      </c>
      <c r="DC53" s="107">
        <f t="shared" si="41"/>
        <v>6.9000000000000006E-2</v>
      </c>
      <c r="DD53" s="107">
        <f t="shared" si="19"/>
        <v>5.3999999999999992E-2</v>
      </c>
      <c r="DE53" s="107">
        <f t="shared" si="11"/>
        <v>0.27239999999999998</v>
      </c>
      <c r="DF53" s="107">
        <f t="shared" si="20"/>
        <v>6.88E-2</v>
      </c>
      <c r="DG53" s="107">
        <f t="shared" si="21"/>
        <v>4.2999999999999997E-2</v>
      </c>
      <c r="DH53" s="107">
        <f t="shared" si="22"/>
        <v>0.13049999999999998</v>
      </c>
      <c r="DI53" s="107"/>
      <c r="DJ53" s="107"/>
      <c r="DK53" s="107"/>
      <c r="DL53" s="107"/>
      <c r="DM53" s="107"/>
      <c r="DN53" s="107"/>
      <c r="DO53" s="107"/>
      <c r="DP53" s="107"/>
      <c r="DQ53">
        <f t="shared" si="26"/>
        <v>0.08</v>
      </c>
      <c r="DR53">
        <f t="shared" si="27"/>
        <v>0.1008</v>
      </c>
      <c r="DS53">
        <f t="shared" si="42"/>
        <v>0</v>
      </c>
      <c r="DT53">
        <f t="shared" si="43"/>
        <v>0</v>
      </c>
      <c r="DU53"/>
      <c r="DV53" s="32"/>
      <c r="DW53" s="54">
        <f t="shared" si="45"/>
        <v>0</v>
      </c>
      <c r="DX53" s="33"/>
      <c r="DY53" s="43"/>
      <c r="DZ53" s="43"/>
      <c r="EA53" s="35"/>
      <c r="EB53" s="36">
        <f t="shared" si="62"/>
        <v>0</v>
      </c>
      <c r="EC53" s="37"/>
      <c r="ED53" s="80"/>
      <c r="EE53" s="81"/>
      <c r="EF53" s="81"/>
      <c r="EG53" s="390">
        <v>0.01</v>
      </c>
      <c r="EH53" s="70"/>
      <c r="EI53" s="38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48">
        <f t="shared" si="30"/>
        <v>0.61095505617977519</v>
      </c>
      <c r="FN53" s="48">
        <f t="shared" si="31"/>
        <v>0.9887640449438202</v>
      </c>
      <c r="FO53" s="142">
        <f t="shared" si="32"/>
        <v>0.61789772727272729</v>
      </c>
      <c r="FP53" s="142">
        <f t="shared" si="33"/>
        <v>0.20131086142322097</v>
      </c>
      <c r="FQ53" s="180">
        <f t="shared" si="34"/>
        <v>2.1359999999999997E-2</v>
      </c>
    </row>
    <row r="54" spans="1:173" ht="12.75" customHeight="1" x14ac:dyDescent="0.15">
      <c r="A54" s="134">
        <v>45</v>
      </c>
      <c r="B54" t="s">
        <v>257</v>
      </c>
      <c r="C54">
        <v>4223</v>
      </c>
      <c r="D54">
        <v>2366</v>
      </c>
      <c r="E54">
        <v>2333</v>
      </c>
      <c r="F54">
        <v>1842</v>
      </c>
      <c r="H54">
        <v>74.099999999999994</v>
      </c>
      <c r="I54">
        <v>4.8</v>
      </c>
      <c r="K54">
        <v>0.15</v>
      </c>
      <c r="M54">
        <v>10.8</v>
      </c>
      <c r="O54">
        <v>45</v>
      </c>
      <c r="T54">
        <v>0</v>
      </c>
      <c r="V54">
        <v>0.15</v>
      </c>
      <c r="AB54">
        <v>13.349999999999994</v>
      </c>
      <c r="AC54">
        <v>53</v>
      </c>
      <c r="AD54" s="136">
        <v>27.565499999999997</v>
      </c>
      <c r="AF54">
        <v>0.02</v>
      </c>
      <c r="AG54">
        <v>0.01</v>
      </c>
      <c r="AH54">
        <v>0.04</v>
      </c>
      <c r="AI54">
        <v>0.06</v>
      </c>
      <c r="AJ54">
        <v>0.02</v>
      </c>
      <c r="AK54">
        <v>0.02</v>
      </c>
      <c r="AL54">
        <v>0.03</v>
      </c>
      <c r="AM54">
        <v>0.05</v>
      </c>
      <c r="AN54">
        <v>0.01</v>
      </c>
      <c r="AO54">
        <v>0.11</v>
      </c>
      <c r="AR54">
        <v>0.04</v>
      </c>
      <c r="AW54">
        <v>0.03</v>
      </c>
      <c r="AY54" s="23">
        <v>88.25</v>
      </c>
      <c r="AZ54">
        <v>92</v>
      </c>
      <c r="BA54">
        <v>90</v>
      </c>
      <c r="BB54">
        <v>88</v>
      </c>
      <c r="BC54">
        <v>89</v>
      </c>
      <c r="BD54">
        <v>86</v>
      </c>
      <c r="BE54">
        <v>90</v>
      </c>
      <c r="BF54">
        <v>90</v>
      </c>
      <c r="BG54">
        <v>86</v>
      </c>
      <c r="BH54">
        <v>86</v>
      </c>
      <c r="BI54">
        <v>87</v>
      </c>
      <c r="BL54">
        <v>84</v>
      </c>
      <c r="BQ54">
        <v>91</v>
      </c>
      <c r="BS54">
        <v>0.82</v>
      </c>
      <c r="BX54">
        <v>0.08</v>
      </c>
      <c r="CA54">
        <v>0.01</v>
      </c>
      <c r="CB54">
        <v>50</v>
      </c>
      <c r="CC54">
        <v>63</v>
      </c>
      <c r="CF54" s="4">
        <v>7.0754999999999972</v>
      </c>
      <c r="CH54" s="107">
        <v>3.6959999999999997</v>
      </c>
      <c r="CI54" s="107">
        <v>0</v>
      </c>
      <c r="CJ54" s="107">
        <v>0</v>
      </c>
      <c r="CK54" s="107">
        <v>1.1599999999999999E-2</v>
      </c>
      <c r="CL54" s="107">
        <v>1.4999999999999999E-2</v>
      </c>
      <c r="CM54" s="107">
        <v>0</v>
      </c>
      <c r="CN54" s="107">
        <v>1.04E-2</v>
      </c>
      <c r="CO54" s="107">
        <v>2.64E-2</v>
      </c>
      <c r="CP54" s="107">
        <v>0</v>
      </c>
      <c r="CQ54" s="107">
        <v>0</v>
      </c>
      <c r="CR54" s="107">
        <v>0</v>
      </c>
      <c r="CS54" s="107">
        <v>0</v>
      </c>
      <c r="CT54" s="107">
        <v>5.6100000000000004E-2</v>
      </c>
      <c r="CU54" s="107"/>
      <c r="CV54" s="107">
        <v>4.2359999999999998</v>
      </c>
      <c r="CW54" s="107">
        <f t="shared" si="56"/>
        <v>1.84E-2</v>
      </c>
      <c r="CX54" s="107">
        <f t="shared" si="57"/>
        <v>9.0000000000000011E-3</v>
      </c>
      <c r="CY54" s="107">
        <f t="shared" si="58"/>
        <v>3.5200000000000002E-2</v>
      </c>
      <c r="CZ54" s="107">
        <f t="shared" si="59"/>
        <v>5.3399999999999996E-2</v>
      </c>
      <c r="DA54" s="107">
        <f t="shared" si="60"/>
        <v>1.72E-2</v>
      </c>
      <c r="DB54" s="107">
        <f t="shared" si="61"/>
        <v>1.8000000000000002E-2</v>
      </c>
      <c r="DC54" s="107">
        <f t="shared" si="41"/>
        <v>5.16E-2</v>
      </c>
      <c r="DD54" s="107">
        <f t="shared" si="19"/>
        <v>2.6999999999999996E-2</v>
      </c>
      <c r="DE54" s="107">
        <f t="shared" si="11"/>
        <v>5.4300000000000001E-2</v>
      </c>
      <c r="DF54" s="107">
        <f t="shared" si="20"/>
        <v>4.2999999999999997E-2</v>
      </c>
      <c r="DG54" s="107">
        <f t="shared" si="21"/>
        <v>8.6E-3</v>
      </c>
      <c r="DH54" s="107">
        <f t="shared" si="22"/>
        <v>9.5700000000000007E-2</v>
      </c>
      <c r="DI54" s="107"/>
      <c r="DJ54" s="107"/>
      <c r="DK54" s="107"/>
      <c r="DL54" s="107"/>
      <c r="DM54" s="107"/>
      <c r="DN54" s="107"/>
      <c r="DO54" s="107"/>
      <c r="DP54" s="107"/>
      <c r="DQ54">
        <f t="shared" si="26"/>
        <v>0.04</v>
      </c>
      <c r="DR54">
        <f t="shared" si="27"/>
        <v>5.04E-2</v>
      </c>
      <c r="DS54">
        <f t="shared" si="42"/>
        <v>0</v>
      </c>
      <c r="DT54">
        <f t="shared" si="43"/>
        <v>0</v>
      </c>
      <c r="DU54"/>
      <c r="DV54" s="39"/>
      <c r="DW54" s="54">
        <f t="shared" si="45"/>
        <v>0</v>
      </c>
      <c r="DX54" s="33"/>
      <c r="DY54" s="34"/>
      <c r="DZ54" s="34"/>
      <c r="EA54" s="35"/>
      <c r="EB54" s="36">
        <f t="shared" si="62"/>
        <v>0</v>
      </c>
      <c r="EC54" s="37"/>
      <c r="ED54" s="37"/>
      <c r="EE54" s="81"/>
      <c r="EF54" s="81"/>
      <c r="EG54" s="390">
        <v>0.01</v>
      </c>
      <c r="EH54" s="70"/>
      <c r="EI54" s="38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48">
        <f t="shared" si="30"/>
        <v>1.7921348314606744</v>
      </c>
      <c r="FN54" s="48">
        <f t="shared" si="31"/>
        <v>0.65917602996254687</v>
      </c>
      <c r="FO54" s="142">
        <f t="shared" si="32"/>
        <v>2.71875</v>
      </c>
      <c r="FP54" s="142">
        <f t="shared" si="33"/>
        <v>0.16104868913857678</v>
      </c>
      <c r="FQ54" s="180">
        <f t="shared" si="34"/>
        <v>1.1124999999999999E-2</v>
      </c>
    </row>
    <row r="55" spans="1:173" ht="12.75" customHeight="1" x14ac:dyDescent="0.15">
      <c r="A55" s="134">
        <v>46</v>
      </c>
      <c r="B55" t="s">
        <v>258</v>
      </c>
      <c r="C55">
        <v>4272</v>
      </c>
      <c r="D55">
        <v>2627</v>
      </c>
      <c r="E55">
        <v>2551</v>
      </c>
      <c r="F55">
        <v>1893</v>
      </c>
      <c r="H55">
        <v>89.88</v>
      </c>
      <c r="I55">
        <v>11.16</v>
      </c>
      <c r="K55">
        <v>5.42</v>
      </c>
      <c r="L55">
        <v>4.2</v>
      </c>
      <c r="M55">
        <v>2.64</v>
      </c>
      <c r="T55">
        <v>39.06</v>
      </c>
      <c r="U55">
        <v>25.3</v>
      </c>
      <c r="V55">
        <v>13.73</v>
      </c>
      <c r="X55">
        <v>33.93</v>
      </c>
      <c r="AB55">
        <v>31.599999999999994</v>
      </c>
      <c r="AC55">
        <v>29</v>
      </c>
      <c r="AD55" s="136">
        <v>41.440400000000004</v>
      </c>
      <c r="AF55">
        <v>0.73</v>
      </c>
      <c r="AG55">
        <v>0.24</v>
      </c>
      <c r="AH55">
        <v>0.41</v>
      </c>
      <c r="AI55">
        <v>0.79</v>
      </c>
      <c r="AJ55">
        <v>0.49</v>
      </c>
      <c r="AK55" s="141">
        <f>0.68-AR55</f>
        <v>0.32000000000000006</v>
      </c>
      <c r="AL55">
        <v>0.52</v>
      </c>
      <c r="AM55">
        <v>0.42</v>
      </c>
      <c r="AN55">
        <v>0.14000000000000001</v>
      </c>
      <c r="AO55">
        <v>0.63</v>
      </c>
      <c r="AR55">
        <v>0.36</v>
      </c>
      <c r="AW55">
        <v>0.41</v>
      </c>
      <c r="AY55" s="23">
        <v>80.416666666666671</v>
      </c>
      <c r="AZ55">
        <v>90</v>
      </c>
      <c r="BA55">
        <v>85</v>
      </c>
      <c r="BB55">
        <v>81</v>
      </c>
      <c r="BC55">
        <v>83</v>
      </c>
      <c r="BD55">
        <v>76</v>
      </c>
      <c r="BE55">
        <v>83</v>
      </c>
      <c r="BF55">
        <v>84</v>
      </c>
      <c r="BG55">
        <v>71</v>
      </c>
      <c r="BH55">
        <v>75</v>
      </c>
      <c r="BI55">
        <v>80</v>
      </c>
      <c r="BL55">
        <v>75</v>
      </c>
      <c r="BQ55">
        <v>82</v>
      </c>
      <c r="BS55">
        <v>0.03</v>
      </c>
      <c r="BT55">
        <v>0.1</v>
      </c>
      <c r="BU55">
        <v>0.42</v>
      </c>
      <c r="BV55">
        <v>0.16</v>
      </c>
      <c r="BW55">
        <v>0.08</v>
      </c>
      <c r="BX55">
        <v>0.35</v>
      </c>
      <c r="BY55">
        <v>0.21</v>
      </c>
      <c r="CA55">
        <v>0.19</v>
      </c>
      <c r="CB55">
        <v>33</v>
      </c>
      <c r="CC55">
        <v>39</v>
      </c>
      <c r="CF55" s="4">
        <v>9.1639999999999979</v>
      </c>
      <c r="CH55" s="107">
        <v>6.9192</v>
      </c>
      <c r="CI55" s="107">
        <v>0.62049999999999994</v>
      </c>
      <c r="CJ55" s="107">
        <v>0.19439999999999999</v>
      </c>
      <c r="CK55" s="107">
        <v>0.29930000000000001</v>
      </c>
      <c r="CL55" s="107">
        <v>0.59250000000000003</v>
      </c>
      <c r="CM55" s="107">
        <v>0.34299999999999997</v>
      </c>
      <c r="CN55" s="107">
        <v>0.53720000000000001</v>
      </c>
      <c r="CO55" s="107">
        <v>0.78560000000000008</v>
      </c>
      <c r="CP55" s="107">
        <v>0.42120000000000002</v>
      </c>
      <c r="CQ55" s="107">
        <v>0.73280000000000001</v>
      </c>
      <c r="CR55" s="107">
        <v>0.24779999999999996</v>
      </c>
      <c r="CS55" s="107">
        <v>8.2600000000000021E-2</v>
      </c>
      <c r="CT55" s="107">
        <v>0.4536</v>
      </c>
      <c r="CU55" s="107"/>
      <c r="CV55" s="107">
        <v>8.9745000000000008</v>
      </c>
      <c r="CW55" s="107">
        <f t="shared" si="56"/>
        <v>0.65700000000000003</v>
      </c>
      <c r="CX55" s="107">
        <f t="shared" si="57"/>
        <v>0.20399999999999999</v>
      </c>
      <c r="CY55" s="107">
        <f t="shared" si="58"/>
        <v>0.33210000000000001</v>
      </c>
      <c r="CZ55" s="107">
        <f t="shared" si="59"/>
        <v>0.65570000000000006</v>
      </c>
      <c r="DA55" s="107">
        <f t="shared" si="60"/>
        <v>0.37240000000000001</v>
      </c>
      <c r="DB55" s="107">
        <f t="shared" si="61"/>
        <v>0.26560000000000006</v>
      </c>
      <c r="DC55" s="107">
        <f t="shared" si="41"/>
        <v>0.53560000000000008</v>
      </c>
      <c r="DD55" s="107">
        <f t="shared" si="19"/>
        <v>0.43680000000000002</v>
      </c>
      <c r="DE55" s="107">
        <f t="shared" si="11"/>
        <v>0.77300000000000002</v>
      </c>
      <c r="DF55" s="107">
        <f t="shared" si="20"/>
        <v>0.29820000000000002</v>
      </c>
      <c r="DG55" s="107">
        <f t="shared" si="21"/>
        <v>0.10500000000000002</v>
      </c>
      <c r="DH55" s="107">
        <f t="shared" si="22"/>
        <v>0.504</v>
      </c>
      <c r="DI55" s="107"/>
      <c r="DJ55" s="107"/>
      <c r="DK55" s="107"/>
      <c r="DL55" s="107"/>
      <c r="DM55" s="107"/>
      <c r="DN55" s="107"/>
      <c r="DO55" s="107"/>
      <c r="DP55" s="107"/>
      <c r="DQ55">
        <f t="shared" si="26"/>
        <v>0.11549999999999999</v>
      </c>
      <c r="DR55">
        <f t="shared" si="27"/>
        <v>0.13649999999999998</v>
      </c>
      <c r="DS55">
        <f t="shared" si="42"/>
        <v>0</v>
      </c>
      <c r="DT55">
        <f t="shared" si="43"/>
        <v>0</v>
      </c>
      <c r="DU55"/>
      <c r="DV55" s="32"/>
      <c r="DW55" s="54">
        <f t="shared" si="45"/>
        <v>0</v>
      </c>
      <c r="DX55" s="33"/>
      <c r="DY55" s="43"/>
      <c r="DZ55" s="43"/>
      <c r="EA55" s="35"/>
      <c r="EB55" s="36">
        <f t="shared" si="62"/>
        <v>0</v>
      </c>
      <c r="EC55" s="69"/>
      <c r="ED55" s="37"/>
      <c r="EE55" s="81"/>
      <c r="EF55" s="81"/>
      <c r="EG55" s="390">
        <v>0.19</v>
      </c>
      <c r="EH55" s="70"/>
      <c r="EI55" s="38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48">
        <f t="shared" si="30"/>
        <v>0.7686441970413298</v>
      </c>
      <c r="FN55" s="48">
        <f t="shared" si="31"/>
        <v>0.50648162269330488</v>
      </c>
      <c r="FO55" s="142">
        <f t="shared" si="32"/>
        <v>1.5176151761517616</v>
      </c>
      <c r="FP55" s="142">
        <f t="shared" si="33"/>
        <v>0.16013420771694375</v>
      </c>
      <c r="FQ55" s="180">
        <f t="shared" si="34"/>
        <v>5.8754480286738353E-2</v>
      </c>
    </row>
    <row r="56" spans="1:173" ht="12.75" customHeight="1" x14ac:dyDescent="0.15">
      <c r="A56" s="134">
        <v>47</v>
      </c>
      <c r="B56" t="s">
        <v>259</v>
      </c>
      <c r="C56">
        <v>4422</v>
      </c>
      <c r="D56">
        <v>4126</v>
      </c>
      <c r="E56">
        <v>4026</v>
      </c>
      <c r="F56">
        <v>3164</v>
      </c>
      <c r="H56">
        <v>91.8</v>
      </c>
      <c r="I56">
        <v>14.7</v>
      </c>
      <c r="J56">
        <v>2.2000000000000002</v>
      </c>
      <c r="K56">
        <v>10.65</v>
      </c>
      <c r="L56">
        <v>7.2</v>
      </c>
      <c r="M56">
        <v>1.73</v>
      </c>
      <c r="T56">
        <v>56.35</v>
      </c>
      <c r="U56">
        <v>11.07</v>
      </c>
      <c r="V56">
        <v>3.7</v>
      </c>
      <c r="AB56">
        <v>8.3699999999999832</v>
      </c>
      <c r="AC56">
        <v>47</v>
      </c>
      <c r="AD56" s="136">
        <v>44.445499999999996</v>
      </c>
      <c r="AF56">
        <v>0.89</v>
      </c>
      <c r="AG56">
        <v>0.27</v>
      </c>
      <c r="AH56">
        <v>0.54</v>
      </c>
      <c r="AI56">
        <v>0.96</v>
      </c>
      <c r="AJ56">
        <v>0.56000000000000005</v>
      </c>
      <c r="AK56">
        <v>0.22</v>
      </c>
      <c r="AL56">
        <v>0.65</v>
      </c>
      <c r="AM56">
        <v>0.48</v>
      </c>
      <c r="AN56">
        <v>0.15</v>
      </c>
      <c r="AO56">
        <v>0.7</v>
      </c>
      <c r="AR56">
        <v>0.41</v>
      </c>
      <c r="AW56">
        <v>0.32</v>
      </c>
      <c r="AY56">
        <v>81</v>
      </c>
      <c r="AZ56">
        <v>95</v>
      </c>
      <c r="BA56">
        <v>93</v>
      </c>
      <c r="BB56">
        <v>89</v>
      </c>
      <c r="BC56">
        <v>91</v>
      </c>
      <c r="BD56">
        <v>90</v>
      </c>
      <c r="BE56">
        <v>89</v>
      </c>
      <c r="BF56">
        <v>92</v>
      </c>
      <c r="BG56">
        <v>85</v>
      </c>
      <c r="BI56">
        <v>90</v>
      </c>
      <c r="BL56">
        <v>81</v>
      </c>
      <c r="BQ56">
        <v>91</v>
      </c>
      <c r="BS56">
        <v>0.08</v>
      </c>
      <c r="BT56">
        <v>0.11</v>
      </c>
      <c r="BU56">
        <v>0.36</v>
      </c>
      <c r="BV56">
        <v>0.12</v>
      </c>
      <c r="BW56">
        <v>0.02</v>
      </c>
      <c r="BX56">
        <v>0.38</v>
      </c>
      <c r="BY56">
        <v>0.14000000000000001</v>
      </c>
      <c r="CB56">
        <v>33</v>
      </c>
      <c r="CC56">
        <v>39</v>
      </c>
      <c r="CF56" s="4">
        <v>3.933899999999992</v>
      </c>
      <c r="CH56" s="107">
        <v>10.731</v>
      </c>
      <c r="CI56" s="107">
        <v>0.79210000000000003</v>
      </c>
      <c r="CJ56" s="107">
        <v>0.2268</v>
      </c>
      <c r="CK56" s="107">
        <v>0.44819999999999999</v>
      </c>
      <c r="CL56" s="107">
        <v>0.81599999999999995</v>
      </c>
      <c r="CM56" s="107">
        <v>0.48160000000000003</v>
      </c>
      <c r="CN56" s="107">
        <v>0.18260000000000001</v>
      </c>
      <c r="CO56" s="107">
        <v>0.49419999999999997</v>
      </c>
      <c r="CP56" s="107">
        <v>0.5655</v>
      </c>
      <c r="CQ56" s="107">
        <v>0.82790000000000008</v>
      </c>
      <c r="CR56" s="107">
        <v>0.37439999999999996</v>
      </c>
      <c r="CS56" s="107">
        <v>0</v>
      </c>
      <c r="CT56" s="107">
        <v>0.59499999999999997</v>
      </c>
      <c r="CU56" s="107"/>
      <c r="CV56" s="107">
        <v>11.907</v>
      </c>
      <c r="CW56" s="107">
        <f t="shared" si="56"/>
        <v>0.84549999999999992</v>
      </c>
      <c r="CX56" s="107">
        <f t="shared" si="57"/>
        <v>0.25110000000000005</v>
      </c>
      <c r="CY56" s="107">
        <f t="shared" si="58"/>
        <v>0.48060000000000003</v>
      </c>
      <c r="CZ56" s="107">
        <f t="shared" si="59"/>
        <v>0.87360000000000004</v>
      </c>
      <c r="DA56" s="107">
        <f t="shared" si="60"/>
        <v>0.504</v>
      </c>
      <c r="DB56" s="107">
        <f t="shared" si="61"/>
        <v>0.19580000000000003</v>
      </c>
      <c r="DC56" s="107">
        <f t="shared" si="41"/>
        <v>0.52790000000000004</v>
      </c>
      <c r="DD56" s="107">
        <f t="shared" si="19"/>
        <v>0.59800000000000009</v>
      </c>
      <c r="DE56" s="107">
        <f t="shared" si="11"/>
        <v>0.8892000000000001</v>
      </c>
      <c r="DF56" s="107">
        <f t="shared" si="20"/>
        <v>0.40799999999999997</v>
      </c>
      <c r="DG56" s="107">
        <f t="shared" si="21"/>
        <v>0</v>
      </c>
      <c r="DH56" s="107">
        <f t="shared" si="22"/>
        <v>0.62999999999999989</v>
      </c>
      <c r="DI56" s="107"/>
      <c r="DJ56" s="107"/>
      <c r="DK56" s="107"/>
      <c r="DL56" s="107"/>
      <c r="DM56" s="107"/>
      <c r="DN56" s="107"/>
      <c r="DO56" s="107"/>
      <c r="DP56" s="107"/>
      <c r="DQ56">
        <f t="shared" si="26"/>
        <v>0.12540000000000001</v>
      </c>
      <c r="DR56">
        <f t="shared" si="27"/>
        <v>0.1482</v>
      </c>
      <c r="DS56">
        <f t="shared" si="42"/>
        <v>0</v>
      </c>
      <c r="DT56">
        <f t="shared" si="43"/>
        <v>0</v>
      </c>
      <c r="DU56"/>
      <c r="DV56" s="32"/>
      <c r="DW56" s="54">
        <f t="shared" si="45"/>
        <v>0</v>
      </c>
      <c r="DX56" s="33"/>
      <c r="DY56" s="43"/>
      <c r="DZ56" s="43"/>
      <c r="EA56" s="149"/>
      <c r="EB56" s="36">
        <f t="shared" si="62"/>
        <v>0</v>
      </c>
      <c r="EC56" s="80"/>
      <c r="ED56" s="37"/>
      <c r="EE56" s="81"/>
      <c r="EF56" s="81"/>
      <c r="EG56" s="390">
        <f>BX56*0.543</f>
        <v>0.20634000000000002</v>
      </c>
      <c r="EH56" s="37"/>
      <c r="EI56" s="38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48">
        <f t="shared" si="30"/>
        <v>0.72115384615384603</v>
      </c>
      <c r="FN56" s="48">
        <f t="shared" si="31"/>
        <v>0.55013736263736268</v>
      </c>
      <c r="FO56" s="142">
        <f t="shared" si="32"/>
        <v>1.3108614232209734</v>
      </c>
      <c r="FP56" s="142">
        <f t="shared" si="33"/>
        <v>0</v>
      </c>
      <c r="FQ56" s="180">
        <f t="shared" si="34"/>
        <v>5.9428571428571435E-2</v>
      </c>
    </row>
    <row r="57" spans="1:173" x14ac:dyDescent="0.15">
      <c r="A57" s="134">
        <v>48</v>
      </c>
      <c r="B57" t="s">
        <v>260</v>
      </c>
      <c r="C57">
        <v>4576</v>
      </c>
      <c r="D57">
        <v>3690</v>
      </c>
      <c r="E57">
        <v>3595</v>
      </c>
      <c r="F57">
        <v>2720</v>
      </c>
      <c r="H57">
        <v>87.1</v>
      </c>
      <c r="I57">
        <v>13.9</v>
      </c>
      <c r="K57">
        <v>5.9</v>
      </c>
      <c r="M57">
        <v>2.4</v>
      </c>
      <c r="T57">
        <v>46.8</v>
      </c>
      <c r="U57">
        <v>9.6999999999999993</v>
      </c>
      <c r="V57">
        <v>6.5</v>
      </c>
      <c r="AB57">
        <v>18.09999999999998</v>
      </c>
      <c r="AC57">
        <v>47</v>
      </c>
      <c r="AD57" s="136">
        <v>40.587999999999987</v>
      </c>
      <c r="AF57">
        <v>0.85</v>
      </c>
      <c r="AG57">
        <v>0.24</v>
      </c>
      <c r="AH57">
        <v>0.55000000000000004</v>
      </c>
      <c r="AI57">
        <v>0.98</v>
      </c>
      <c r="AJ57">
        <v>0.48</v>
      </c>
      <c r="AK57">
        <v>0.2</v>
      </c>
      <c r="AL57">
        <v>0.66</v>
      </c>
      <c r="AM57">
        <v>0.44</v>
      </c>
      <c r="AN57">
        <v>0.18</v>
      </c>
      <c r="AO57">
        <v>0.72</v>
      </c>
      <c r="AR57">
        <v>0.22</v>
      </c>
      <c r="AW57">
        <v>0.51</v>
      </c>
      <c r="AY57" s="23">
        <v>83.25</v>
      </c>
      <c r="AZ57">
        <v>86</v>
      </c>
      <c r="BA57">
        <v>83</v>
      </c>
      <c r="BB57">
        <v>83</v>
      </c>
      <c r="BC57">
        <v>83</v>
      </c>
      <c r="BD57">
        <v>79</v>
      </c>
      <c r="BE57">
        <v>86</v>
      </c>
      <c r="BF57">
        <v>86</v>
      </c>
      <c r="BG57">
        <v>80</v>
      </c>
      <c r="BH57">
        <v>82</v>
      </c>
      <c r="BI57">
        <v>82</v>
      </c>
      <c r="BL57">
        <v>85</v>
      </c>
      <c r="BQ57">
        <v>84</v>
      </c>
      <c r="BS57">
        <v>0.08</v>
      </c>
      <c r="BT57">
        <v>0.09</v>
      </c>
      <c r="BU57">
        <v>0.38</v>
      </c>
      <c r="BV57">
        <v>0.11</v>
      </c>
      <c r="BW57">
        <v>0.05</v>
      </c>
      <c r="BX57">
        <v>0.41</v>
      </c>
      <c r="BY57">
        <v>0.2</v>
      </c>
      <c r="CB57">
        <v>33</v>
      </c>
      <c r="CC57">
        <v>39</v>
      </c>
      <c r="CF57" s="4">
        <v>8.5069999999999908</v>
      </c>
      <c r="CH57" s="107">
        <v>0</v>
      </c>
      <c r="CI57" s="107">
        <v>0.73099999999999998</v>
      </c>
      <c r="CJ57" s="107">
        <v>0.19919999999999999</v>
      </c>
      <c r="CK57" s="107">
        <v>0.45650000000000007</v>
      </c>
      <c r="CL57" s="107">
        <v>0.81340000000000001</v>
      </c>
      <c r="CM57" s="107">
        <v>0.37920000000000004</v>
      </c>
      <c r="CN57" s="107">
        <v>0.17</v>
      </c>
      <c r="CO57" s="107">
        <v>0.34600000000000003</v>
      </c>
      <c r="CP57" s="107">
        <v>0.5676000000000001</v>
      </c>
      <c r="CQ57" s="107">
        <v>0.98580000000000012</v>
      </c>
      <c r="CR57" s="107">
        <v>0.33439999999999998</v>
      </c>
      <c r="CS57" s="107">
        <v>0.14399999999999999</v>
      </c>
      <c r="CT57" s="107">
        <v>0.59040000000000004</v>
      </c>
      <c r="CU57" s="107"/>
      <c r="CV57" s="107">
        <v>11.57175</v>
      </c>
      <c r="CW57" s="107">
        <f t="shared" si="56"/>
        <v>0.73099999999999998</v>
      </c>
      <c r="CX57" s="107">
        <f t="shared" si="57"/>
        <v>0.19919999999999999</v>
      </c>
      <c r="CY57" s="107">
        <f t="shared" si="58"/>
        <v>0.45650000000000007</v>
      </c>
      <c r="CZ57" s="107">
        <f t="shared" si="59"/>
        <v>0.81340000000000001</v>
      </c>
      <c r="DA57" s="107">
        <f t="shared" si="60"/>
        <v>0.37920000000000004</v>
      </c>
      <c r="DB57" s="107">
        <f t="shared" si="61"/>
        <v>0.17199999999999999</v>
      </c>
      <c r="DC57" s="107">
        <f t="shared" si="41"/>
        <v>0.35899999999999999</v>
      </c>
      <c r="DD57" s="107">
        <f t="shared" si="19"/>
        <v>0.5676000000000001</v>
      </c>
      <c r="DE57" s="107">
        <f t="shared" si="11"/>
        <v>0.99600000000000022</v>
      </c>
      <c r="DF57" s="107">
        <f t="shared" si="20"/>
        <v>0.35200000000000004</v>
      </c>
      <c r="DG57" s="107">
        <f t="shared" si="21"/>
        <v>0.14760000000000001</v>
      </c>
      <c r="DH57" s="107">
        <f t="shared" si="22"/>
        <v>0.59040000000000004</v>
      </c>
      <c r="DI57" s="107"/>
      <c r="DJ57" s="107"/>
      <c r="DK57" s="107"/>
      <c r="DL57" s="107"/>
      <c r="DM57" s="107"/>
      <c r="DN57" s="107"/>
      <c r="DO57" s="107"/>
      <c r="DP57" s="107"/>
      <c r="DQ57">
        <f t="shared" si="26"/>
        <v>0.1353</v>
      </c>
      <c r="DR57">
        <f t="shared" si="27"/>
        <v>0.15989999999999999</v>
      </c>
      <c r="DS57">
        <f t="shared" si="42"/>
        <v>0</v>
      </c>
      <c r="DT57">
        <f t="shared" si="43"/>
        <v>0</v>
      </c>
      <c r="DU57"/>
      <c r="DV57" s="32"/>
      <c r="DW57" s="54">
        <f t="shared" si="45"/>
        <v>350</v>
      </c>
      <c r="DX57" s="33">
        <v>0.17499999999999999</v>
      </c>
      <c r="DY57" s="34">
        <v>2389</v>
      </c>
      <c r="DZ57" s="34">
        <v>2413</v>
      </c>
      <c r="EA57" s="35">
        <v>0.13</v>
      </c>
      <c r="EB57" s="36">
        <f t="shared" si="62"/>
        <v>5.33E-2</v>
      </c>
      <c r="EC57" s="37">
        <v>2.4</v>
      </c>
      <c r="ED57" s="80">
        <v>0</v>
      </c>
      <c r="EE57" s="81">
        <v>0</v>
      </c>
      <c r="EF57" s="81"/>
      <c r="EG57" s="390">
        <v>0.18</v>
      </c>
      <c r="EH57" s="126">
        <f>125*K57/10</f>
        <v>73.75</v>
      </c>
      <c r="EI57" s="38">
        <f>IF(AR57="","",AR57*BL57)</f>
        <v>18.7</v>
      </c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48">
        <f t="shared" si="30"/>
        <v>0.72584214408655034</v>
      </c>
      <c r="FN57" s="48">
        <f t="shared" si="31"/>
        <v>0.56122448979591844</v>
      </c>
      <c r="FO57" s="142">
        <f t="shared" si="32"/>
        <v>1.2933187294633077</v>
      </c>
      <c r="FP57" s="142">
        <f t="shared" si="33"/>
        <v>0.18146053602163759</v>
      </c>
      <c r="FQ57" s="180">
        <f t="shared" si="34"/>
        <v>5.8517985611510788E-2</v>
      </c>
    </row>
    <row r="58" spans="1:173" x14ac:dyDescent="0.15">
      <c r="A58" s="134">
        <v>49</v>
      </c>
      <c r="B58" t="s">
        <v>261</v>
      </c>
      <c r="C58">
        <v>4906</v>
      </c>
      <c r="D58">
        <v>3895</v>
      </c>
      <c r="E58">
        <v>3594</v>
      </c>
      <c r="F58">
        <v>2381</v>
      </c>
      <c r="H58">
        <v>92</v>
      </c>
      <c r="I58">
        <v>44.23</v>
      </c>
      <c r="K58">
        <v>6.5</v>
      </c>
      <c r="M58">
        <v>6</v>
      </c>
      <c r="T58">
        <v>6.65</v>
      </c>
      <c r="U58">
        <v>14.6</v>
      </c>
      <c r="V58">
        <v>9.1</v>
      </c>
      <c r="AB58">
        <v>28.620000000000005</v>
      </c>
      <c r="AC58">
        <v>67</v>
      </c>
      <c r="AD58" s="136">
        <v>44.186900000000009</v>
      </c>
      <c r="AF58">
        <v>5.2</v>
      </c>
      <c r="AG58">
        <v>1.04</v>
      </c>
      <c r="AH58">
        <v>1.46</v>
      </c>
      <c r="AI58">
        <v>2.65</v>
      </c>
      <c r="AJ58">
        <v>1.55</v>
      </c>
      <c r="AK58">
        <v>0.5</v>
      </c>
      <c r="AL58">
        <v>2.12</v>
      </c>
      <c r="AM58">
        <v>1.1599999999999999</v>
      </c>
      <c r="AN58">
        <v>0.33</v>
      </c>
      <c r="AO58">
        <v>1.75</v>
      </c>
      <c r="AR58">
        <v>0.6</v>
      </c>
      <c r="AW58">
        <v>1.74</v>
      </c>
      <c r="AY58">
        <v>87</v>
      </c>
      <c r="AZ58">
        <v>93</v>
      </c>
      <c r="BA58">
        <v>81</v>
      </c>
      <c r="BB58">
        <v>81</v>
      </c>
      <c r="BC58">
        <v>81</v>
      </c>
      <c r="BD58">
        <v>76</v>
      </c>
      <c r="BE58">
        <v>83</v>
      </c>
      <c r="BF58">
        <v>88</v>
      </c>
      <c r="BG58">
        <v>74</v>
      </c>
      <c r="BH58">
        <v>76</v>
      </c>
      <c r="BI58">
        <v>78</v>
      </c>
      <c r="BL58">
        <v>81</v>
      </c>
      <c r="BQ58">
        <v>92</v>
      </c>
      <c r="BS58">
        <v>0.17</v>
      </c>
      <c r="BT58">
        <v>0.03</v>
      </c>
      <c r="BU58">
        <v>1.2</v>
      </c>
      <c r="BV58">
        <v>0.33</v>
      </c>
      <c r="BW58">
        <v>0.06</v>
      </c>
      <c r="BX58">
        <v>0.63</v>
      </c>
      <c r="BY58">
        <v>0.28999999999999998</v>
      </c>
      <c r="CB58">
        <v>28</v>
      </c>
      <c r="CC58">
        <v>32</v>
      </c>
      <c r="CF58" s="4">
        <v>19.175400000000003</v>
      </c>
      <c r="CH58" s="107">
        <v>34.941699999999997</v>
      </c>
      <c r="CI58" s="107">
        <v>4.8360000000000003</v>
      </c>
      <c r="CJ58" s="107">
        <v>0.8216</v>
      </c>
      <c r="CK58" s="107">
        <v>1.1388</v>
      </c>
      <c r="CL58" s="107">
        <v>2.0935000000000001</v>
      </c>
      <c r="CM58" s="107">
        <v>1.1315</v>
      </c>
      <c r="CN58" s="107">
        <v>0.4</v>
      </c>
      <c r="CO58" s="107">
        <v>0.86799999999999999</v>
      </c>
      <c r="CP58" s="107">
        <v>1.8232000000000002</v>
      </c>
      <c r="CQ58" s="107">
        <v>3.3544</v>
      </c>
      <c r="CR58" s="107">
        <v>0.81199999999999983</v>
      </c>
      <c r="CS58" s="107">
        <v>0.2409</v>
      </c>
      <c r="CT58" s="107">
        <v>1.3125</v>
      </c>
      <c r="CU58" s="107"/>
      <c r="CV58" s="107">
        <v>38.4801</v>
      </c>
      <c r="CW58" s="107">
        <f t="shared" si="56"/>
        <v>4.8360000000000003</v>
      </c>
      <c r="CX58" s="107">
        <f t="shared" si="57"/>
        <v>0.84240000000000004</v>
      </c>
      <c r="CY58" s="107">
        <f t="shared" si="58"/>
        <v>1.1825999999999999</v>
      </c>
      <c r="CZ58" s="107">
        <f t="shared" si="59"/>
        <v>2.1465000000000001</v>
      </c>
      <c r="DA58" s="107">
        <f t="shared" si="60"/>
        <v>1.1779999999999999</v>
      </c>
      <c r="DB58" s="107">
        <f t="shared" si="61"/>
        <v>0.41499999999999998</v>
      </c>
      <c r="DC58" s="107">
        <f t="shared" si="41"/>
        <v>0.90099999999999991</v>
      </c>
      <c r="DD58" s="107">
        <f t="shared" si="19"/>
        <v>1.8655999999999999</v>
      </c>
      <c r="DE58" s="107">
        <f t="shared" si="11"/>
        <v>3.4664000000000001</v>
      </c>
      <c r="DF58" s="107">
        <f t="shared" si="20"/>
        <v>0.85839999999999994</v>
      </c>
      <c r="DG58" s="107">
        <f t="shared" si="21"/>
        <v>0.25080000000000002</v>
      </c>
      <c r="DH58" s="107">
        <f t="shared" si="22"/>
        <v>1.365</v>
      </c>
      <c r="DI58" s="107"/>
      <c r="DJ58" s="107"/>
      <c r="DK58" s="107"/>
      <c r="DL58" s="107"/>
      <c r="DM58" s="107"/>
      <c r="DN58" s="107"/>
      <c r="DO58" s="107"/>
      <c r="DP58" s="107"/>
      <c r="DQ58">
        <f t="shared" si="26"/>
        <v>0.1764</v>
      </c>
      <c r="DR58">
        <f t="shared" si="27"/>
        <v>0.2016</v>
      </c>
      <c r="DS58">
        <f t="shared" si="42"/>
        <v>0</v>
      </c>
      <c r="DT58">
        <f t="shared" si="43"/>
        <v>0</v>
      </c>
      <c r="DU58"/>
      <c r="DV58" s="32"/>
      <c r="DW58" s="54">
        <f t="shared" si="45"/>
        <v>0</v>
      </c>
      <c r="DX58" s="33"/>
      <c r="DY58" s="34"/>
      <c r="DZ58" s="34"/>
      <c r="EA58" s="35"/>
      <c r="EB58" s="36">
        <f t="shared" si="62"/>
        <v>0</v>
      </c>
      <c r="EC58" s="68"/>
      <c r="ED58" s="80"/>
      <c r="EE58" s="81"/>
      <c r="EF58" s="81"/>
      <c r="EG58" s="390">
        <v>0.42</v>
      </c>
      <c r="EH58" s="70"/>
      <c r="EI58" s="38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48">
        <f t="shared" si="30"/>
        <v>0.63591893780573028</v>
      </c>
      <c r="FN58" s="48">
        <f t="shared" si="31"/>
        <v>0.55094339622641497</v>
      </c>
      <c r="FO58" s="142">
        <f t="shared" si="32"/>
        <v>1.1542364282090312</v>
      </c>
      <c r="FP58" s="142">
        <f t="shared" si="33"/>
        <v>0.11684136967155835</v>
      </c>
      <c r="FQ58" s="180">
        <f t="shared" si="34"/>
        <v>4.8530409224508256E-2</v>
      </c>
    </row>
    <row r="59" spans="1:173" x14ac:dyDescent="0.15">
      <c r="A59" s="134">
        <v>50</v>
      </c>
      <c r="B59" t="s">
        <v>262</v>
      </c>
      <c r="C59">
        <v>4622</v>
      </c>
      <c r="D59">
        <v>3415</v>
      </c>
      <c r="E59">
        <v>3109</v>
      </c>
      <c r="F59">
        <v>1924</v>
      </c>
      <c r="H59">
        <v>91.8</v>
      </c>
      <c r="I59">
        <v>45.03</v>
      </c>
      <c r="K59">
        <v>1.2</v>
      </c>
      <c r="M59">
        <v>6</v>
      </c>
      <c r="T59">
        <v>6.7</v>
      </c>
      <c r="U59">
        <v>16.2</v>
      </c>
      <c r="V59">
        <v>12.46</v>
      </c>
      <c r="AB59">
        <v>32.86999999999999</v>
      </c>
      <c r="AC59">
        <v>67</v>
      </c>
      <c r="AD59" s="136">
        <v>42.517399999999995</v>
      </c>
      <c r="AF59">
        <v>5.27</v>
      </c>
      <c r="AG59">
        <v>0.98</v>
      </c>
      <c r="AH59">
        <v>1.42</v>
      </c>
      <c r="AI59">
        <v>2.61</v>
      </c>
      <c r="AJ59">
        <v>1.44</v>
      </c>
      <c r="AK59">
        <v>0.5</v>
      </c>
      <c r="AL59">
        <v>1.97</v>
      </c>
      <c r="AM59">
        <v>1.26</v>
      </c>
      <c r="AN59">
        <v>0.4</v>
      </c>
      <c r="AO59">
        <v>1.58</v>
      </c>
      <c r="AR59">
        <v>0.54</v>
      </c>
      <c r="AW59">
        <v>1.42</v>
      </c>
      <c r="AY59">
        <v>87</v>
      </c>
      <c r="AZ59">
        <v>93</v>
      </c>
      <c r="BA59">
        <v>81</v>
      </c>
      <c r="BB59">
        <v>81</v>
      </c>
      <c r="BC59">
        <v>81</v>
      </c>
      <c r="BD59">
        <v>76</v>
      </c>
      <c r="BE59">
        <v>83</v>
      </c>
      <c r="BF59">
        <v>88</v>
      </c>
      <c r="BG59">
        <v>74</v>
      </c>
      <c r="BH59">
        <v>76</v>
      </c>
      <c r="BI59">
        <v>78</v>
      </c>
      <c r="BL59">
        <v>81</v>
      </c>
      <c r="BQ59">
        <v>92</v>
      </c>
      <c r="BS59">
        <v>0.39</v>
      </c>
      <c r="BT59">
        <v>0.04</v>
      </c>
      <c r="BU59">
        <v>1.25</v>
      </c>
      <c r="BV59">
        <v>0.31</v>
      </c>
      <c r="BW59">
        <v>7.0000000000000007E-2</v>
      </c>
      <c r="BX59">
        <v>0.57999999999999996</v>
      </c>
      <c r="BY59">
        <v>0.3</v>
      </c>
      <c r="CB59">
        <v>28</v>
      </c>
      <c r="CC59">
        <v>32</v>
      </c>
      <c r="CF59" s="4">
        <v>22.022899999999996</v>
      </c>
      <c r="CH59" s="107">
        <v>35.573700000000002</v>
      </c>
      <c r="CI59" s="107">
        <v>4.9010999999999996</v>
      </c>
      <c r="CJ59" s="107">
        <v>0.7742</v>
      </c>
      <c r="CK59" s="107">
        <v>1.1075999999999999</v>
      </c>
      <c r="CL59" s="107">
        <v>2.0619000000000001</v>
      </c>
      <c r="CM59" s="107">
        <v>1.0511999999999999</v>
      </c>
      <c r="CN59" s="107">
        <v>0.4</v>
      </c>
      <c r="CO59" s="107">
        <v>0.82120000000000004</v>
      </c>
      <c r="CP59" s="107">
        <v>1.6941999999999999</v>
      </c>
      <c r="CQ59" s="107">
        <v>2.9438</v>
      </c>
      <c r="CR59" s="107">
        <v>0.88200000000000001</v>
      </c>
      <c r="CS59" s="107">
        <v>0.29200000000000004</v>
      </c>
      <c r="CT59" s="107">
        <v>1.1850000000000001</v>
      </c>
      <c r="CU59" s="107"/>
      <c r="CV59" s="107">
        <v>39.176099999999998</v>
      </c>
      <c r="CW59" s="107">
        <f t="shared" si="56"/>
        <v>4.9010999999999996</v>
      </c>
      <c r="CX59" s="107">
        <f t="shared" si="57"/>
        <v>0.79379999999999995</v>
      </c>
      <c r="CY59" s="107">
        <f t="shared" si="58"/>
        <v>1.1501999999999999</v>
      </c>
      <c r="CZ59" s="107">
        <f t="shared" si="59"/>
        <v>2.1141000000000001</v>
      </c>
      <c r="DA59" s="107">
        <f t="shared" si="60"/>
        <v>1.0944</v>
      </c>
      <c r="DB59" s="107">
        <f t="shared" si="61"/>
        <v>0.41499999999999998</v>
      </c>
      <c r="DC59" s="107">
        <f t="shared" si="41"/>
        <v>0.85240000000000005</v>
      </c>
      <c r="DD59" s="107">
        <f t="shared" si="19"/>
        <v>1.7335999999999998</v>
      </c>
      <c r="DE59" s="107">
        <f t="shared" si="11"/>
        <v>3.0399999999999996</v>
      </c>
      <c r="DF59" s="107">
        <f t="shared" si="20"/>
        <v>0.9323999999999999</v>
      </c>
      <c r="DG59" s="107">
        <f t="shared" si="21"/>
        <v>0.30400000000000005</v>
      </c>
      <c r="DH59" s="107">
        <f t="shared" si="22"/>
        <v>1.2324000000000002</v>
      </c>
      <c r="DI59" s="107"/>
      <c r="DJ59" s="107"/>
      <c r="DK59" s="107"/>
      <c r="DL59" s="107"/>
      <c r="DM59" s="107"/>
      <c r="DN59" s="107"/>
      <c r="DO59" s="107"/>
      <c r="DP59" s="107"/>
      <c r="DQ59">
        <f t="shared" si="26"/>
        <v>0.16239999999999999</v>
      </c>
      <c r="DR59">
        <f t="shared" si="27"/>
        <v>0.18559999999999999</v>
      </c>
      <c r="DS59">
        <f t="shared" si="42"/>
        <v>0</v>
      </c>
      <c r="DT59">
        <f t="shared" si="43"/>
        <v>0</v>
      </c>
      <c r="DU59"/>
      <c r="DV59" s="32"/>
      <c r="DW59" s="54">
        <f t="shared" si="45"/>
        <v>0</v>
      </c>
      <c r="DX59" s="33"/>
      <c r="DY59" s="34"/>
      <c r="DZ59" s="34"/>
      <c r="EA59" s="35"/>
      <c r="EB59" s="36">
        <f t="shared" si="62"/>
        <v>0</v>
      </c>
      <c r="EC59" s="37"/>
      <c r="ED59" s="80"/>
      <c r="EE59" s="81"/>
      <c r="EF59" s="81"/>
      <c r="EG59" s="390">
        <f>BX59*0.666</f>
        <v>0.38628000000000001</v>
      </c>
      <c r="EH59" s="70"/>
      <c r="EI59" s="38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48">
        <f t="shared" si="30"/>
        <v>0.58294309635305808</v>
      </c>
      <c r="FN59" s="48">
        <f t="shared" si="31"/>
        <v>0.54406130268199226</v>
      </c>
      <c r="FO59" s="142">
        <f t="shared" si="32"/>
        <v>1.0714658320292125</v>
      </c>
      <c r="FP59" s="142">
        <f t="shared" si="33"/>
        <v>0.1437964145499267</v>
      </c>
      <c r="FQ59" s="180">
        <f t="shared" si="34"/>
        <v>4.6948700866089273E-2</v>
      </c>
    </row>
    <row r="60" spans="1:173" x14ac:dyDescent="0.15">
      <c r="A60" s="134">
        <v>51</v>
      </c>
      <c r="B60" t="s">
        <v>263</v>
      </c>
      <c r="C60">
        <v>4035</v>
      </c>
      <c r="D60">
        <v>3504</v>
      </c>
      <c r="E60">
        <v>3353</v>
      </c>
      <c r="F60">
        <v>2419</v>
      </c>
      <c r="H60">
        <v>88.1</v>
      </c>
      <c r="I60">
        <v>22.17</v>
      </c>
      <c r="J60">
        <v>6.16</v>
      </c>
      <c r="K60">
        <v>1.2</v>
      </c>
      <c r="M60">
        <v>2.86</v>
      </c>
      <c r="O60">
        <v>0.19</v>
      </c>
      <c r="P60">
        <v>0.04</v>
      </c>
      <c r="Q60">
        <v>0.23</v>
      </c>
      <c r="R60">
        <v>0.32</v>
      </c>
      <c r="T60">
        <v>43.46</v>
      </c>
      <c r="U60">
        <v>12.84</v>
      </c>
      <c r="V60">
        <v>6.9</v>
      </c>
      <c r="W60">
        <v>0.45</v>
      </c>
      <c r="AB60">
        <v>18.219999999999992</v>
      </c>
      <c r="AC60">
        <v>86</v>
      </c>
      <c r="AD60" s="136">
        <v>40.045599999999993</v>
      </c>
      <c r="AF60">
        <v>1.91</v>
      </c>
      <c r="AG60">
        <v>0.53</v>
      </c>
      <c r="AH60">
        <v>0.94</v>
      </c>
      <c r="AI60">
        <v>1.56</v>
      </c>
      <c r="AJ60">
        <v>1.63</v>
      </c>
      <c r="AK60">
        <v>0.21</v>
      </c>
      <c r="AL60">
        <v>1.02</v>
      </c>
      <c r="AM60">
        <v>0.83</v>
      </c>
      <c r="AN60">
        <v>0.21</v>
      </c>
      <c r="AO60">
        <v>1.03</v>
      </c>
      <c r="AR60">
        <v>0.31</v>
      </c>
      <c r="AW60">
        <v>0.59</v>
      </c>
      <c r="AY60">
        <v>80</v>
      </c>
      <c r="AZ60">
        <v>90</v>
      </c>
      <c r="BA60">
        <v>82</v>
      </c>
      <c r="BB60">
        <v>81</v>
      </c>
      <c r="BC60">
        <v>81</v>
      </c>
      <c r="BD60">
        <v>85</v>
      </c>
      <c r="BE60">
        <v>77</v>
      </c>
      <c r="BF60">
        <v>80</v>
      </c>
      <c r="BG60">
        <v>76</v>
      </c>
      <c r="BH60">
        <v>69</v>
      </c>
      <c r="BI60">
        <v>78</v>
      </c>
      <c r="BL60">
        <v>68</v>
      </c>
      <c r="BQ60">
        <v>78</v>
      </c>
      <c r="BS60">
        <v>0.09</v>
      </c>
      <c r="BX60">
        <v>0.42</v>
      </c>
      <c r="CA60">
        <v>0.17</v>
      </c>
      <c r="CB60">
        <v>49</v>
      </c>
      <c r="CC60">
        <v>56</v>
      </c>
      <c r="CF60" s="4">
        <v>15.669199999999995</v>
      </c>
      <c r="CH60" s="107">
        <v>16.184100000000001</v>
      </c>
      <c r="CI60" s="107">
        <v>1.6617</v>
      </c>
      <c r="CJ60" s="107">
        <v>0.41340000000000005</v>
      </c>
      <c r="CK60" s="107">
        <v>0.71439999999999992</v>
      </c>
      <c r="CL60" s="107">
        <v>1.2012</v>
      </c>
      <c r="CM60" s="107">
        <v>1.3366</v>
      </c>
      <c r="CN60" s="107">
        <v>0.1512</v>
      </c>
      <c r="CO60" s="107">
        <v>0.34029999999999999</v>
      </c>
      <c r="CP60" s="107">
        <v>0.7854000000000001</v>
      </c>
      <c r="CQ60" s="107">
        <v>1.222</v>
      </c>
      <c r="CR60" s="107">
        <v>0.56440000000000001</v>
      </c>
      <c r="CS60" s="107">
        <v>0.13229999999999997</v>
      </c>
      <c r="CT60" s="107">
        <v>0.74159999999999993</v>
      </c>
      <c r="CU60" s="107"/>
      <c r="CV60" s="107">
        <v>17.736000000000001</v>
      </c>
      <c r="CW60" s="107">
        <f t="shared" si="56"/>
        <v>1.7190000000000001</v>
      </c>
      <c r="CX60" s="107">
        <f t="shared" si="57"/>
        <v>0.43459999999999999</v>
      </c>
      <c r="CY60" s="107">
        <f t="shared" si="58"/>
        <v>0.76139999999999997</v>
      </c>
      <c r="CZ60" s="107">
        <f t="shared" si="59"/>
        <v>1.2636000000000001</v>
      </c>
      <c r="DA60" s="107">
        <f t="shared" si="60"/>
        <v>1.3854999999999997</v>
      </c>
      <c r="DB60" s="107">
        <f t="shared" si="61"/>
        <v>0.16169999999999998</v>
      </c>
      <c r="DC60" s="107">
        <f t="shared" si="41"/>
        <v>0.3725</v>
      </c>
      <c r="DD60" s="107">
        <f t="shared" si="19"/>
        <v>0.81599999999999995</v>
      </c>
      <c r="DE60" s="107">
        <f t="shared" si="11"/>
        <v>1.2761999999999998</v>
      </c>
      <c r="DF60" s="107">
        <f t="shared" si="20"/>
        <v>0.63080000000000003</v>
      </c>
      <c r="DG60" s="107">
        <f t="shared" si="21"/>
        <v>0.1449</v>
      </c>
      <c r="DH60" s="107">
        <f t="shared" si="22"/>
        <v>0.8034</v>
      </c>
      <c r="DI60" s="107"/>
      <c r="DJ60" s="107"/>
      <c r="DK60" s="107"/>
      <c r="DL60" s="107"/>
      <c r="DM60" s="107"/>
      <c r="DN60" s="107"/>
      <c r="DO60" s="107"/>
      <c r="DP60" s="107"/>
      <c r="DQ60">
        <f t="shared" si="26"/>
        <v>0.20579999999999998</v>
      </c>
      <c r="DR60">
        <f t="shared" si="27"/>
        <v>0.23519999999999999</v>
      </c>
      <c r="DS60">
        <f t="shared" si="42"/>
        <v>0</v>
      </c>
      <c r="DT60">
        <f t="shared" si="43"/>
        <v>0</v>
      </c>
      <c r="DU60"/>
      <c r="DV60" s="32"/>
      <c r="DW60" s="54">
        <f t="shared" si="45"/>
        <v>160</v>
      </c>
      <c r="DX60" s="33">
        <v>0.08</v>
      </c>
      <c r="DY60" s="34">
        <v>2317</v>
      </c>
      <c r="DZ60" s="34">
        <v>2389</v>
      </c>
      <c r="EA60" s="42">
        <v>0.21</v>
      </c>
      <c r="EB60" s="36">
        <f t="shared" si="62"/>
        <v>8.8199999999999987E-2</v>
      </c>
      <c r="EC60" s="37">
        <v>0.47</v>
      </c>
      <c r="ED60" s="80">
        <v>0</v>
      </c>
      <c r="EE60" s="81">
        <v>0</v>
      </c>
      <c r="EF60" s="81"/>
      <c r="EG60" s="390">
        <v>0.17</v>
      </c>
      <c r="EH60" s="126">
        <f>125*K60/10</f>
        <v>15</v>
      </c>
      <c r="EI60" s="38">
        <f>IF(AR60="","",AR60*BL60)</f>
        <v>21.08</v>
      </c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48">
        <f t="shared" si="30"/>
        <v>0.63580246913580241</v>
      </c>
      <c r="FN60" s="48">
        <f t="shared" si="31"/>
        <v>0.60256410256410253</v>
      </c>
      <c r="FO60" s="142">
        <f t="shared" si="32"/>
        <v>1.0551615445232467</v>
      </c>
      <c r="FP60" s="142">
        <f t="shared" si="33"/>
        <v>0.11467236467236466</v>
      </c>
      <c r="FQ60" s="180">
        <f t="shared" si="34"/>
        <v>5.699594046008119E-2</v>
      </c>
    </row>
    <row r="61" spans="1:173" x14ac:dyDescent="0.15">
      <c r="A61" s="134">
        <v>52</v>
      </c>
      <c r="B61" t="s">
        <v>264</v>
      </c>
      <c r="C61">
        <v>5562</v>
      </c>
      <c r="D61">
        <v>4620</v>
      </c>
      <c r="E61">
        <v>4057</v>
      </c>
      <c r="F61">
        <v>2610</v>
      </c>
      <c r="H61">
        <v>94.31</v>
      </c>
      <c r="I61">
        <v>82.82</v>
      </c>
      <c r="K61">
        <v>8.0399999999999991</v>
      </c>
      <c r="M61">
        <v>6.22</v>
      </c>
      <c r="T61">
        <v>0</v>
      </c>
      <c r="V61">
        <v>0</v>
      </c>
      <c r="AB61">
        <v>0</v>
      </c>
      <c r="AC61">
        <v>0</v>
      </c>
      <c r="AD61" s="136">
        <v>50.004999999999995</v>
      </c>
      <c r="AF61">
        <v>6.46</v>
      </c>
      <c r="AG61">
        <v>1.96</v>
      </c>
      <c r="AH61">
        <v>3.73</v>
      </c>
      <c r="AI61">
        <v>6.57</v>
      </c>
      <c r="AJ61">
        <v>5.78</v>
      </c>
      <c r="AK61">
        <v>0.8</v>
      </c>
      <c r="AL61">
        <v>4.4800000000000004</v>
      </c>
      <c r="AM61">
        <v>3.01</v>
      </c>
      <c r="AN61">
        <v>0.83</v>
      </c>
      <c r="AO61">
        <v>4.0599999999999996</v>
      </c>
      <c r="AR61">
        <v>0.8</v>
      </c>
      <c r="AY61">
        <v>80</v>
      </c>
      <c r="AZ61">
        <v>90</v>
      </c>
      <c r="BA61">
        <v>82</v>
      </c>
      <c r="BB61">
        <v>81</v>
      </c>
      <c r="BC61">
        <v>81</v>
      </c>
      <c r="BD61">
        <v>85</v>
      </c>
      <c r="BE61">
        <v>77</v>
      </c>
      <c r="BF61">
        <v>80</v>
      </c>
      <c r="BG61">
        <v>76</v>
      </c>
      <c r="BH61">
        <v>69</v>
      </c>
      <c r="BI61">
        <v>78</v>
      </c>
      <c r="BL61">
        <v>68</v>
      </c>
      <c r="BX61">
        <v>0.46</v>
      </c>
      <c r="CF61" s="4">
        <v>0</v>
      </c>
      <c r="CH61" s="107">
        <v>60.458599999999997</v>
      </c>
      <c r="CI61" s="107">
        <v>5.6201999999999996</v>
      </c>
      <c r="CJ61" s="107">
        <v>1.5287999999999999</v>
      </c>
      <c r="CK61" s="107">
        <v>2.8348</v>
      </c>
      <c r="CL61" s="107">
        <v>5.0589000000000004</v>
      </c>
      <c r="CM61" s="107">
        <v>4.7396000000000003</v>
      </c>
      <c r="CN61" s="107">
        <v>0.57600000000000007</v>
      </c>
      <c r="CO61" s="107">
        <v>1.0640000000000001</v>
      </c>
      <c r="CP61" s="107">
        <v>3.4496000000000002</v>
      </c>
      <c r="CQ61" s="107">
        <v>3.4496000000000002</v>
      </c>
      <c r="CR61" s="107">
        <v>2.0467999999999997</v>
      </c>
      <c r="CS61" s="107">
        <v>0.52290000000000003</v>
      </c>
      <c r="CT61" s="107">
        <v>2.9232</v>
      </c>
      <c r="CU61" s="107"/>
      <c r="CV61" s="107">
        <v>66.256</v>
      </c>
      <c r="CW61" s="107">
        <f t="shared" si="56"/>
        <v>5.8140000000000001</v>
      </c>
      <c r="CX61" s="107">
        <f t="shared" si="57"/>
        <v>1.6072</v>
      </c>
      <c r="CY61" s="107">
        <f t="shared" si="58"/>
        <v>3.0213000000000001</v>
      </c>
      <c r="CZ61" s="107">
        <f t="shared" si="59"/>
        <v>5.3217000000000008</v>
      </c>
      <c r="DA61" s="107">
        <f t="shared" si="60"/>
        <v>4.9130000000000003</v>
      </c>
      <c r="DB61" s="107">
        <f t="shared" si="61"/>
        <v>0.61599999999999999</v>
      </c>
      <c r="DC61" s="107">
        <f t="shared" si="41"/>
        <v>1.1599999999999999</v>
      </c>
      <c r="DD61" s="107">
        <f t="shared" si="19"/>
        <v>3.5840000000000005</v>
      </c>
      <c r="DE61" s="107">
        <f t="shared" si="11"/>
        <v>3.5840000000000005</v>
      </c>
      <c r="DF61" s="107">
        <f t="shared" si="20"/>
        <v>2.2875999999999999</v>
      </c>
      <c r="DG61" s="107">
        <f t="shared" si="21"/>
        <v>0.57269999999999999</v>
      </c>
      <c r="DH61" s="107">
        <f t="shared" si="22"/>
        <v>3.1667999999999994</v>
      </c>
      <c r="DI61" s="107"/>
      <c r="DJ61" s="107"/>
      <c r="DK61" s="107"/>
      <c r="DL61" s="107"/>
      <c r="DM61" s="107"/>
      <c r="DN61" s="107"/>
      <c r="DO61" s="107"/>
      <c r="DP61" s="107"/>
      <c r="DQ61">
        <f t="shared" si="26"/>
        <v>0</v>
      </c>
      <c r="DR61">
        <f t="shared" si="27"/>
        <v>0</v>
      </c>
      <c r="DS61">
        <f t="shared" si="42"/>
        <v>0</v>
      </c>
      <c r="DT61">
        <f t="shared" si="43"/>
        <v>0</v>
      </c>
      <c r="DU61"/>
      <c r="DV61" s="32"/>
      <c r="DW61" s="54">
        <f t="shared" si="45"/>
        <v>0</v>
      </c>
      <c r="DX61" s="33"/>
      <c r="DY61" s="34"/>
      <c r="DZ61" s="34"/>
      <c r="EA61" s="149"/>
      <c r="EB61" s="36">
        <f t="shared" si="62"/>
        <v>0</v>
      </c>
      <c r="EC61" s="80"/>
      <c r="ED61" s="80"/>
      <c r="EE61" s="81"/>
      <c r="EF61" s="81"/>
      <c r="EG61" s="390">
        <f>BX61*0.405</f>
        <v>0.18630000000000002</v>
      </c>
      <c r="EH61" s="126"/>
      <c r="EI61" s="38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48">
        <f t="shared" si="30"/>
        <v>0.59507300298776689</v>
      </c>
      <c r="FN61" s="48">
        <f t="shared" si="31"/>
        <v>0.56773211567732107</v>
      </c>
      <c r="FO61" s="142">
        <f t="shared" si="32"/>
        <v>1.0481580776486941</v>
      </c>
      <c r="FP61" s="142">
        <f t="shared" si="33"/>
        <v>0.10761598737245615</v>
      </c>
      <c r="FQ61" s="180">
        <f t="shared" si="34"/>
        <v>6.425621830475732E-2</v>
      </c>
    </row>
    <row r="62" spans="1:173" x14ac:dyDescent="0.15">
      <c r="A62" s="134">
        <v>53</v>
      </c>
      <c r="B62" t="s">
        <v>265</v>
      </c>
      <c r="C62">
        <v>5439</v>
      </c>
      <c r="D62">
        <v>4140</v>
      </c>
      <c r="E62">
        <v>3597</v>
      </c>
      <c r="H62">
        <v>93.39</v>
      </c>
      <c r="I62">
        <v>79.8</v>
      </c>
      <c r="J62">
        <v>1.43</v>
      </c>
      <c r="K62">
        <v>2.78</v>
      </c>
      <c r="M62">
        <v>1.28</v>
      </c>
      <c r="T62">
        <v>0</v>
      </c>
      <c r="AB62">
        <v>9.5300000000000047</v>
      </c>
      <c r="AC62">
        <v>0</v>
      </c>
      <c r="AD62" s="136">
        <v>48.695300000000003</v>
      </c>
      <c r="AF62">
        <v>4.1399999999999997</v>
      </c>
      <c r="AG62">
        <v>1.76</v>
      </c>
      <c r="AH62">
        <v>4.18</v>
      </c>
      <c r="AI62">
        <v>8.14</v>
      </c>
      <c r="AJ62">
        <v>6.18</v>
      </c>
      <c r="AK62">
        <v>1.74</v>
      </c>
      <c r="AL62">
        <v>5.0999999999999996</v>
      </c>
      <c r="AM62">
        <v>4.6100000000000003</v>
      </c>
      <c r="AN62">
        <v>1.1000000000000001</v>
      </c>
      <c r="AO62">
        <v>5.36</v>
      </c>
      <c r="AR62">
        <v>1.1299999999999999</v>
      </c>
      <c r="AW62">
        <v>3.93</v>
      </c>
      <c r="AY62">
        <v>87</v>
      </c>
      <c r="AZ62">
        <v>92</v>
      </c>
      <c r="BA62">
        <v>88</v>
      </c>
      <c r="BB62">
        <v>87</v>
      </c>
      <c r="BC62">
        <v>89</v>
      </c>
      <c r="BD62">
        <v>88</v>
      </c>
      <c r="BE62">
        <v>91</v>
      </c>
      <c r="BF62">
        <v>82</v>
      </c>
      <c r="BG62">
        <v>85</v>
      </c>
      <c r="BH62">
        <v>79</v>
      </c>
      <c r="BI62">
        <v>88</v>
      </c>
      <c r="BL62">
        <v>67</v>
      </c>
      <c r="BQ62">
        <v>85</v>
      </c>
      <c r="BX62">
        <v>0.41</v>
      </c>
      <c r="CF62" s="4">
        <v>0</v>
      </c>
      <c r="CH62" s="107">
        <v>67.83</v>
      </c>
      <c r="CI62" s="107">
        <v>3.7673999999999994</v>
      </c>
      <c r="CJ62" s="107">
        <v>1.5312000000000001</v>
      </c>
      <c r="CK62" s="107">
        <v>3.6365999999999996</v>
      </c>
      <c r="CL62" s="107">
        <v>7.2446000000000002</v>
      </c>
      <c r="CM62" s="107">
        <v>5.4383999999999988</v>
      </c>
      <c r="CN62" s="107">
        <v>1.5659999999999998</v>
      </c>
      <c r="CO62" s="107">
        <v>2.3004999999999995</v>
      </c>
      <c r="CP62" s="107">
        <v>4.1819999999999995</v>
      </c>
      <c r="CQ62" s="107">
        <v>7.2473999999999998</v>
      </c>
      <c r="CR62" s="107">
        <v>3.8724000000000003</v>
      </c>
      <c r="CS62" s="107">
        <v>0.8580000000000001</v>
      </c>
      <c r="CT62" s="107">
        <v>4.7168000000000001</v>
      </c>
      <c r="CU62" s="107"/>
      <c r="CV62" s="107">
        <v>69.425999999999988</v>
      </c>
      <c r="CW62" s="107">
        <f t="shared" si="56"/>
        <v>3.8087999999999997</v>
      </c>
      <c r="CX62" s="107">
        <f t="shared" si="57"/>
        <v>1.5488</v>
      </c>
      <c r="CY62" s="107">
        <f t="shared" si="58"/>
        <v>3.6365999999999996</v>
      </c>
      <c r="CZ62" s="107">
        <f t="shared" si="59"/>
        <v>7.2446000000000002</v>
      </c>
      <c r="DA62" s="107">
        <f t="shared" si="60"/>
        <v>5.4383999999999988</v>
      </c>
      <c r="DB62" s="107">
        <f t="shared" si="61"/>
        <v>1.5834000000000001</v>
      </c>
      <c r="DC62" s="107">
        <f t="shared" si="41"/>
        <v>2.3405</v>
      </c>
      <c r="DD62" s="107">
        <f t="shared" si="19"/>
        <v>4.1819999999999995</v>
      </c>
      <c r="DE62" s="107">
        <f t="shared" si="11"/>
        <v>7.5224999999999991</v>
      </c>
      <c r="DF62" s="107">
        <f t="shared" si="20"/>
        <v>3.9185000000000003</v>
      </c>
      <c r="DG62" s="107">
        <f t="shared" si="21"/>
        <v>0.86900000000000011</v>
      </c>
      <c r="DH62" s="107">
        <f t="shared" si="22"/>
        <v>4.7168000000000001</v>
      </c>
      <c r="DI62" s="107"/>
      <c r="DJ62" s="107"/>
      <c r="DK62" s="107"/>
      <c r="DL62" s="107"/>
      <c r="DM62" s="107"/>
      <c r="DN62" s="107"/>
      <c r="DO62" s="107"/>
      <c r="DP62" s="107"/>
      <c r="DQ62">
        <f t="shared" si="26"/>
        <v>0</v>
      </c>
      <c r="DR62">
        <f t="shared" si="27"/>
        <v>0</v>
      </c>
      <c r="DS62">
        <f t="shared" si="42"/>
        <v>0</v>
      </c>
      <c r="DT62">
        <f t="shared" si="43"/>
        <v>0</v>
      </c>
      <c r="DU62"/>
      <c r="DV62" s="32"/>
      <c r="DW62" s="54">
        <f t="shared" si="45"/>
        <v>0</v>
      </c>
      <c r="DX62" s="33"/>
      <c r="DY62" s="34"/>
      <c r="DZ62" s="34"/>
      <c r="EA62" s="35"/>
      <c r="EB62" s="36">
        <f t="shared" si="62"/>
        <v>0</v>
      </c>
      <c r="EC62" s="80"/>
      <c r="ED62" s="80"/>
      <c r="EE62" s="81"/>
      <c r="EF62" s="81"/>
      <c r="EG62" s="390">
        <v>0.06</v>
      </c>
      <c r="EH62" s="126"/>
      <c r="EI62" s="38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48">
        <f t="shared" si="30"/>
        <v>0.65107804433647132</v>
      </c>
      <c r="FN62" s="48">
        <f t="shared" si="31"/>
        <v>0.5019738839963559</v>
      </c>
      <c r="FO62" s="142">
        <f t="shared" si="32"/>
        <v>1.297035692679976</v>
      </c>
      <c r="FP62" s="142">
        <f t="shared" si="33"/>
        <v>0.11995141208624356</v>
      </c>
      <c r="FQ62" s="180">
        <f t="shared" si="34"/>
        <v>9.0784461152882204E-2</v>
      </c>
    </row>
    <row r="63" spans="1:173" x14ac:dyDescent="0.15">
      <c r="A63" s="134">
        <v>54</v>
      </c>
      <c r="B63" t="s">
        <v>266</v>
      </c>
      <c r="C63">
        <v>5300</v>
      </c>
      <c r="D63">
        <v>3090</v>
      </c>
      <c r="E63">
        <v>2655</v>
      </c>
      <c r="F63">
        <v>1774</v>
      </c>
      <c r="H63">
        <v>92.08</v>
      </c>
      <c r="I63">
        <v>64.03</v>
      </c>
      <c r="J63">
        <v>0.35</v>
      </c>
      <c r="K63">
        <v>12.02</v>
      </c>
      <c r="L63">
        <v>18.3</v>
      </c>
      <c r="M63">
        <v>13.32</v>
      </c>
      <c r="T63">
        <v>0</v>
      </c>
      <c r="V63">
        <v>0</v>
      </c>
      <c r="AB63">
        <v>2.7099999999999973</v>
      </c>
      <c r="AC63">
        <v>0</v>
      </c>
      <c r="AD63" s="136">
        <v>44.290599999999998</v>
      </c>
      <c r="AF63">
        <v>4.3499999999999996</v>
      </c>
      <c r="AG63">
        <v>1.28</v>
      </c>
      <c r="AH63">
        <v>2.38</v>
      </c>
      <c r="AI63">
        <v>4.42</v>
      </c>
      <c r="AJ63">
        <v>3.69</v>
      </c>
      <c r="AK63">
        <v>1.25</v>
      </c>
      <c r="AL63">
        <v>2.23</v>
      </c>
      <c r="AM63">
        <v>2.35</v>
      </c>
      <c r="AN63">
        <v>0.46</v>
      </c>
      <c r="AO63">
        <v>2.91</v>
      </c>
      <c r="AR63">
        <v>0.63</v>
      </c>
      <c r="AW63">
        <v>1.93</v>
      </c>
      <c r="AY63">
        <v>78</v>
      </c>
      <c r="AZ63">
        <v>89</v>
      </c>
      <c r="BA63">
        <v>82</v>
      </c>
      <c r="BB63">
        <v>81</v>
      </c>
      <c r="BC63">
        <v>82</v>
      </c>
      <c r="BD63">
        <v>85</v>
      </c>
      <c r="BE63">
        <v>77</v>
      </c>
      <c r="BF63">
        <v>84</v>
      </c>
      <c r="BG63">
        <v>77</v>
      </c>
      <c r="BH63">
        <v>78</v>
      </c>
      <c r="BI63">
        <v>80</v>
      </c>
      <c r="BL63">
        <v>72</v>
      </c>
      <c r="BQ63">
        <v>69</v>
      </c>
      <c r="BS63">
        <v>4.54</v>
      </c>
      <c r="BT63">
        <v>0.49</v>
      </c>
      <c r="BU63">
        <v>0.53</v>
      </c>
      <c r="BV63">
        <v>0.18</v>
      </c>
      <c r="BW63">
        <v>0.49</v>
      </c>
      <c r="BX63">
        <v>2.5099999999999998</v>
      </c>
      <c r="BY63">
        <v>0.52</v>
      </c>
      <c r="CB63">
        <v>48</v>
      </c>
      <c r="CC63">
        <v>53</v>
      </c>
      <c r="CF63" s="4">
        <v>0</v>
      </c>
      <c r="CH63" s="107">
        <v>48.022500000000001</v>
      </c>
      <c r="CI63" s="107">
        <v>3.7845</v>
      </c>
      <c r="CJ63" s="107">
        <v>1.024</v>
      </c>
      <c r="CK63" s="107">
        <v>1.8801999999999999</v>
      </c>
      <c r="CL63" s="107">
        <v>3.536</v>
      </c>
      <c r="CM63" s="107">
        <v>3.0995999999999997</v>
      </c>
      <c r="CN63" s="107">
        <v>0.92500000000000004</v>
      </c>
      <c r="CO63" s="107">
        <v>1.3660000000000001</v>
      </c>
      <c r="CP63" s="107">
        <v>1.8285999999999998</v>
      </c>
      <c r="CQ63" s="107">
        <v>2.8129</v>
      </c>
      <c r="CR63" s="107">
        <v>1.7390000000000001</v>
      </c>
      <c r="CS63" s="107">
        <v>0.34039999999999998</v>
      </c>
      <c r="CT63" s="107">
        <v>2.2698</v>
      </c>
      <c r="CU63" s="107"/>
      <c r="CV63" s="107">
        <v>49.943400000000004</v>
      </c>
      <c r="CW63" s="107">
        <f t="shared" si="56"/>
        <v>3.8714999999999997</v>
      </c>
      <c r="CX63" s="107">
        <f t="shared" si="57"/>
        <v>1.0496000000000001</v>
      </c>
      <c r="CY63" s="107">
        <f t="shared" si="58"/>
        <v>1.9278</v>
      </c>
      <c r="CZ63" s="107">
        <f t="shared" si="59"/>
        <v>3.6244000000000001</v>
      </c>
      <c r="DA63" s="107">
        <f t="shared" si="60"/>
        <v>3.1364999999999998</v>
      </c>
      <c r="DB63" s="107">
        <f t="shared" si="61"/>
        <v>0.96250000000000002</v>
      </c>
      <c r="DC63" s="107">
        <f t="shared" si="41"/>
        <v>1.4161000000000001</v>
      </c>
      <c r="DD63" s="107">
        <f t="shared" si="19"/>
        <v>1.8732</v>
      </c>
      <c r="DE63" s="107">
        <f t="shared" si="11"/>
        <v>3.2048999999999999</v>
      </c>
      <c r="DF63" s="107">
        <f t="shared" si="20"/>
        <v>1.8095000000000001</v>
      </c>
      <c r="DG63" s="107">
        <f t="shared" si="21"/>
        <v>0.35880000000000001</v>
      </c>
      <c r="DH63" s="107">
        <f t="shared" si="22"/>
        <v>2.3280000000000003</v>
      </c>
      <c r="DI63" s="107"/>
      <c r="DJ63" s="107"/>
      <c r="DK63" s="107"/>
      <c r="DL63" s="107"/>
      <c r="DM63" s="107"/>
      <c r="DN63" s="107"/>
      <c r="DO63" s="107"/>
      <c r="DP63" s="107"/>
      <c r="DQ63">
        <f t="shared" si="26"/>
        <v>1.2047999999999999</v>
      </c>
      <c r="DR63">
        <f t="shared" si="27"/>
        <v>1.3303</v>
      </c>
      <c r="DS63">
        <f t="shared" si="42"/>
        <v>0</v>
      </c>
      <c r="DT63">
        <f t="shared" si="43"/>
        <v>0</v>
      </c>
      <c r="DU63"/>
      <c r="DV63" s="32"/>
      <c r="DW63" s="54">
        <f t="shared" si="45"/>
        <v>240</v>
      </c>
      <c r="DX63" s="33">
        <v>0.12</v>
      </c>
      <c r="DY63" s="34"/>
      <c r="DZ63" s="34"/>
      <c r="EA63" s="42">
        <v>0.9</v>
      </c>
      <c r="EB63" s="36">
        <f t="shared" si="62"/>
        <v>2.2589999999999999</v>
      </c>
      <c r="EC63" s="37">
        <v>2.54</v>
      </c>
      <c r="ED63" s="80">
        <v>0</v>
      </c>
      <c r="EE63" s="81">
        <v>0</v>
      </c>
      <c r="EF63" s="81"/>
      <c r="EG63" s="390"/>
      <c r="EH63" s="126">
        <f>78*K63/10</f>
        <v>93.756</v>
      </c>
      <c r="EI63" s="38">
        <f>IF(AR63="","",AR63*BL63)</f>
        <v>45.36</v>
      </c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48">
        <f t="shared" si="30"/>
        <v>0.6423132104624214</v>
      </c>
      <c r="FN63" s="48">
        <f t="shared" si="31"/>
        <v>0.53189493433395874</v>
      </c>
      <c r="FO63" s="142">
        <f t="shared" si="32"/>
        <v>1.2075941487706194</v>
      </c>
      <c r="FP63" s="142">
        <f t="shared" si="33"/>
        <v>9.8995695839311337E-2</v>
      </c>
      <c r="FQ63" s="180">
        <f t="shared" si="34"/>
        <v>5.6604716539122288E-2</v>
      </c>
    </row>
    <row r="64" spans="1:173" x14ac:dyDescent="0.15">
      <c r="A64" s="134">
        <v>55</v>
      </c>
      <c r="B64" t="s">
        <v>267</v>
      </c>
      <c r="C64">
        <v>3723</v>
      </c>
      <c r="D64">
        <v>3681</v>
      </c>
      <c r="E64">
        <v>3627</v>
      </c>
      <c r="F64">
        <v>2881</v>
      </c>
      <c r="H64">
        <v>87.78</v>
      </c>
      <c r="I64">
        <v>7.87</v>
      </c>
      <c r="J64">
        <v>0.52</v>
      </c>
      <c r="K64">
        <v>1.3</v>
      </c>
      <c r="L64">
        <v>1.71</v>
      </c>
      <c r="M64">
        <v>0.81</v>
      </c>
      <c r="N64">
        <v>0</v>
      </c>
      <c r="O64">
        <v>0.19</v>
      </c>
      <c r="P64">
        <v>0</v>
      </c>
      <c r="Q64">
        <v>0</v>
      </c>
      <c r="R64">
        <v>0</v>
      </c>
      <c r="T64">
        <v>75.19</v>
      </c>
      <c r="U64">
        <v>1.28</v>
      </c>
      <c r="V64">
        <v>0.64</v>
      </c>
      <c r="AB64">
        <v>2.4200000000000017</v>
      </c>
      <c r="AC64">
        <v>34</v>
      </c>
      <c r="AD64" s="136">
        <v>39.411499999999997</v>
      </c>
      <c r="AF64">
        <v>0.44</v>
      </c>
      <c r="AG64">
        <v>0.33</v>
      </c>
      <c r="AH64">
        <v>0.32</v>
      </c>
      <c r="AI64">
        <v>0.56000000000000005</v>
      </c>
      <c r="AJ64">
        <v>0.35</v>
      </c>
      <c r="AK64">
        <v>0.25</v>
      </c>
      <c r="AL64">
        <v>0.44</v>
      </c>
      <c r="AM64">
        <v>0.23</v>
      </c>
      <c r="AN64">
        <v>0.11</v>
      </c>
      <c r="AO64">
        <v>0.42</v>
      </c>
      <c r="AR64">
        <v>0.18</v>
      </c>
      <c r="AW64">
        <v>0.18</v>
      </c>
      <c r="AY64">
        <v>94</v>
      </c>
      <c r="AZ64">
        <v>93</v>
      </c>
      <c r="BA64">
        <v>85</v>
      </c>
      <c r="BB64">
        <v>81</v>
      </c>
      <c r="BC64">
        <v>83</v>
      </c>
      <c r="BD64">
        <v>89</v>
      </c>
      <c r="BE64">
        <v>87</v>
      </c>
      <c r="BF64">
        <v>80</v>
      </c>
      <c r="BG64">
        <v>85</v>
      </c>
      <c r="BH64">
        <v>77</v>
      </c>
      <c r="BI64">
        <v>86</v>
      </c>
      <c r="BL64">
        <v>77</v>
      </c>
      <c r="BQ64">
        <v>84</v>
      </c>
      <c r="BS64">
        <v>0.09</v>
      </c>
      <c r="BX64">
        <v>0.34</v>
      </c>
      <c r="CA64">
        <v>0.18</v>
      </c>
      <c r="CB64">
        <v>29</v>
      </c>
      <c r="CC64">
        <v>33</v>
      </c>
      <c r="CF64" s="4">
        <v>0.82280000000000053</v>
      </c>
      <c r="CH64" s="107">
        <v>6.2960000000000003</v>
      </c>
      <c r="CI64" s="107">
        <v>0.38719999999999999</v>
      </c>
      <c r="CJ64" s="107">
        <v>0.26400000000000001</v>
      </c>
      <c r="CK64" s="107">
        <v>0.2336</v>
      </c>
      <c r="CL64" s="107">
        <v>0.43120000000000003</v>
      </c>
      <c r="CM64" s="107">
        <v>0.28000000000000003</v>
      </c>
      <c r="CN64" s="107">
        <v>0.21249999999999999</v>
      </c>
      <c r="CO64" s="107">
        <v>0.32589999999999997</v>
      </c>
      <c r="CP64" s="107">
        <v>0.33</v>
      </c>
      <c r="CQ64" s="107">
        <v>0.4506</v>
      </c>
      <c r="CR64" s="107">
        <v>0.16560000000000002</v>
      </c>
      <c r="CS64" s="107">
        <v>6.93E-2</v>
      </c>
      <c r="CT64" s="107">
        <v>0.30659999999999998</v>
      </c>
      <c r="CU64" s="107"/>
      <c r="CV64" s="107">
        <v>7.3978000000000002</v>
      </c>
      <c r="CW64" s="107">
        <f t="shared" si="56"/>
        <v>0.40920000000000001</v>
      </c>
      <c r="CX64" s="107">
        <f t="shared" si="57"/>
        <v>0.28050000000000003</v>
      </c>
      <c r="CY64" s="107">
        <f t="shared" si="58"/>
        <v>0.25920000000000004</v>
      </c>
      <c r="CZ64" s="107">
        <f t="shared" si="59"/>
        <v>0.46480000000000005</v>
      </c>
      <c r="DA64" s="107">
        <f t="shared" si="60"/>
        <v>0.3115</v>
      </c>
      <c r="DB64" s="107">
        <f t="shared" si="61"/>
        <v>0.2175</v>
      </c>
      <c r="DC64" s="107">
        <f t="shared" si="41"/>
        <v>0.35609999999999997</v>
      </c>
      <c r="DD64" s="107">
        <f t="shared" si="19"/>
        <v>0.35200000000000004</v>
      </c>
      <c r="DE64" s="107">
        <f t="shared" si="11"/>
        <v>0.50320000000000009</v>
      </c>
      <c r="DF64" s="107">
        <f t="shared" si="20"/>
        <v>0.19550000000000001</v>
      </c>
      <c r="DG64" s="107">
        <f t="shared" si="21"/>
        <v>8.4700000000000011E-2</v>
      </c>
      <c r="DH64" s="107">
        <f t="shared" si="22"/>
        <v>0.36119999999999997</v>
      </c>
      <c r="DI64" s="107"/>
      <c r="DJ64" s="107"/>
      <c r="DK64" s="107"/>
      <c r="DL64" s="107"/>
      <c r="DM64" s="107"/>
      <c r="DN64" s="107"/>
      <c r="DO64" s="107"/>
      <c r="DP64" s="107"/>
      <c r="DQ64">
        <f t="shared" si="26"/>
        <v>9.8600000000000007E-2</v>
      </c>
      <c r="DR64">
        <f t="shared" si="27"/>
        <v>0.11220000000000001</v>
      </c>
      <c r="DS64">
        <f t="shared" si="42"/>
        <v>0</v>
      </c>
      <c r="DT64">
        <f t="shared" si="43"/>
        <v>0</v>
      </c>
      <c r="DU64"/>
      <c r="DV64" s="32"/>
      <c r="DW64" s="54">
        <f t="shared" si="45"/>
        <v>0</v>
      </c>
      <c r="DX64" s="33"/>
      <c r="DY64" s="34"/>
      <c r="DZ64" s="34"/>
      <c r="EA64" s="149"/>
      <c r="EB64" s="36">
        <f t="shared" si="62"/>
        <v>0</v>
      </c>
      <c r="EC64" s="80"/>
      <c r="ED64" s="80"/>
      <c r="EE64" s="81"/>
      <c r="EF64" s="81"/>
      <c r="EG64" s="390">
        <v>0.18</v>
      </c>
      <c r="EH64" s="70"/>
      <c r="EI64" s="38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48">
        <f t="shared" si="30"/>
        <v>0.77710843373493965</v>
      </c>
      <c r="FN64" s="48">
        <f t="shared" si="31"/>
        <v>0.55765920826161797</v>
      </c>
      <c r="FO64" s="142">
        <f t="shared" si="32"/>
        <v>1.3935185185185182</v>
      </c>
      <c r="FP64" s="142">
        <f t="shared" si="33"/>
        <v>0.18222891566265062</v>
      </c>
      <c r="FQ64" s="180">
        <f t="shared" si="34"/>
        <v>5.9059720457433296E-2</v>
      </c>
    </row>
    <row r="65" spans="1:173" x14ac:dyDescent="0.15">
      <c r="A65" s="134">
        <v>56</v>
      </c>
      <c r="B65" t="s">
        <v>268</v>
      </c>
      <c r="C65">
        <v>4772</v>
      </c>
      <c r="D65">
        <v>3100</v>
      </c>
      <c r="E65">
        <v>2997</v>
      </c>
      <c r="F65">
        <v>2281</v>
      </c>
      <c r="H65">
        <v>91.6</v>
      </c>
      <c r="I65">
        <v>15.11</v>
      </c>
      <c r="K65">
        <v>13.77</v>
      </c>
      <c r="M65">
        <v>14.8</v>
      </c>
      <c r="T65">
        <v>27</v>
      </c>
      <c r="U65">
        <v>26.28</v>
      </c>
      <c r="V65">
        <v>11.87</v>
      </c>
      <c r="AB65">
        <v>20.92</v>
      </c>
      <c r="AC65">
        <v>26</v>
      </c>
      <c r="AD65" s="136">
        <v>39.767500000000005</v>
      </c>
      <c r="AF65">
        <v>1.24</v>
      </c>
      <c r="AG65">
        <v>0.42</v>
      </c>
      <c r="AH65">
        <v>0.51</v>
      </c>
      <c r="AI65">
        <v>1.04</v>
      </c>
      <c r="AJ65">
        <v>0.67</v>
      </c>
      <c r="AK65">
        <v>0.3</v>
      </c>
      <c r="AL65">
        <v>0.65</v>
      </c>
      <c r="AM65">
        <v>0.56000000000000005</v>
      </c>
      <c r="AN65">
        <v>0.19</v>
      </c>
      <c r="AO65">
        <v>0.78</v>
      </c>
      <c r="AR65">
        <v>0.27</v>
      </c>
      <c r="AW65">
        <v>0.4</v>
      </c>
      <c r="AY65" s="23">
        <v>75.416666666666671</v>
      </c>
      <c r="AZ65">
        <v>89</v>
      </c>
      <c r="BA65">
        <v>87</v>
      </c>
      <c r="BB65">
        <v>69</v>
      </c>
      <c r="BC65">
        <v>70</v>
      </c>
      <c r="BD65">
        <v>78</v>
      </c>
      <c r="BE65">
        <v>77</v>
      </c>
      <c r="BF65">
        <v>73</v>
      </c>
      <c r="BG65">
        <v>71</v>
      </c>
      <c r="BH65">
        <v>73</v>
      </c>
      <c r="BI65">
        <v>69</v>
      </c>
      <c r="BL65">
        <v>68</v>
      </c>
      <c r="BQ65">
        <v>81</v>
      </c>
      <c r="BS65">
        <v>0.22</v>
      </c>
      <c r="BT65">
        <v>7.0000000000000007E-2</v>
      </c>
      <c r="BU65">
        <v>1.56</v>
      </c>
      <c r="BV65">
        <v>0.9</v>
      </c>
      <c r="BW65">
        <v>0.03</v>
      </c>
      <c r="BX65">
        <v>2.16</v>
      </c>
      <c r="BY65">
        <v>0.18</v>
      </c>
      <c r="CA65">
        <v>1.74</v>
      </c>
      <c r="CB65">
        <v>13</v>
      </c>
      <c r="CC65">
        <v>23</v>
      </c>
      <c r="CF65" s="4">
        <v>5.4392000000000005</v>
      </c>
      <c r="CH65" s="107">
        <v>8.6127000000000002</v>
      </c>
      <c r="CI65" s="107">
        <v>1.054</v>
      </c>
      <c r="CJ65" s="107">
        <v>0.3276</v>
      </c>
      <c r="CK65" s="107">
        <v>0.32640000000000002</v>
      </c>
      <c r="CL65" s="107">
        <v>0.67600000000000005</v>
      </c>
      <c r="CM65" s="107">
        <v>0.4824</v>
      </c>
      <c r="CN65" s="107">
        <v>0.222</v>
      </c>
      <c r="CO65" s="107">
        <v>0.4002</v>
      </c>
      <c r="CP65" s="107">
        <v>0.442</v>
      </c>
      <c r="CQ65" s="107">
        <v>0.75</v>
      </c>
      <c r="CR65" s="107">
        <v>0.34160000000000001</v>
      </c>
      <c r="CS65" s="107">
        <v>0.1216</v>
      </c>
      <c r="CT65" s="107">
        <v>0.51480000000000004</v>
      </c>
      <c r="CU65" s="107"/>
      <c r="CV65" s="107">
        <v>11.395458333333334</v>
      </c>
      <c r="CW65" s="107">
        <f t="shared" si="56"/>
        <v>1.1035999999999999</v>
      </c>
      <c r="CX65" s="107">
        <f t="shared" si="57"/>
        <v>0.3654</v>
      </c>
      <c r="CY65" s="107">
        <f t="shared" si="58"/>
        <v>0.35189999999999999</v>
      </c>
      <c r="CZ65" s="107">
        <f t="shared" si="59"/>
        <v>0.72799999999999998</v>
      </c>
      <c r="DA65" s="107">
        <f t="shared" si="60"/>
        <v>0.52260000000000006</v>
      </c>
      <c r="DB65" s="107">
        <f t="shared" si="61"/>
        <v>0.23099999999999998</v>
      </c>
      <c r="DC65" s="107">
        <f t="shared" si="41"/>
        <v>0.41459999999999991</v>
      </c>
      <c r="DD65" s="107">
        <f t="shared" si="19"/>
        <v>0.47450000000000003</v>
      </c>
      <c r="DE65" s="107">
        <f t="shared" si="11"/>
        <v>0.79849999999999999</v>
      </c>
      <c r="DF65" s="107">
        <f t="shared" si="20"/>
        <v>0.39760000000000006</v>
      </c>
      <c r="DG65" s="107">
        <f t="shared" si="21"/>
        <v>0.13870000000000002</v>
      </c>
      <c r="DH65" s="107">
        <f t="shared" si="22"/>
        <v>0.53820000000000001</v>
      </c>
      <c r="DI65" s="107"/>
      <c r="DJ65" s="107"/>
      <c r="DK65" s="107"/>
      <c r="DL65" s="107"/>
      <c r="DM65" s="107"/>
      <c r="DN65" s="107"/>
      <c r="DO65" s="107"/>
      <c r="DP65" s="107"/>
      <c r="DQ65">
        <f t="shared" si="26"/>
        <v>0.28079999999999999</v>
      </c>
      <c r="DR65">
        <f t="shared" si="27"/>
        <v>0.49680000000000007</v>
      </c>
      <c r="DS65">
        <f t="shared" si="42"/>
        <v>0</v>
      </c>
      <c r="DT65">
        <f t="shared" si="43"/>
        <v>0</v>
      </c>
      <c r="DU65"/>
      <c r="DV65" s="32"/>
      <c r="DW65" s="54">
        <f t="shared" si="45"/>
        <v>0</v>
      </c>
      <c r="DX65" s="33"/>
      <c r="DY65" s="34"/>
      <c r="DZ65" s="34"/>
      <c r="EA65" s="149"/>
      <c r="EB65" s="36">
        <f t="shared" si="62"/>
        <v>0</v>
      </c>
      <c r="EC65" s="80"/>
      <c r="ED65" s="80"/>
      <c r="EE65" s="81"/>
      <c r="EF65" s="81"/>
      <c r="EG65" s="390">
        <v>1.66</v>
      </c>
      <c r="EH65" s="70"/>
      <c r="EI65" s="38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48">
        <f t="shared" si="30"/>
        <v>0.73928571428571432</v>
      </c>
      <c r="FN65" s="48">
        <f t="shared" si="31"/>
        <v>0.48337912087912088</v>
      </c>
      <c r="FO65" s="142">
        <f t="shared" si="32"/>
        <v>1.5294117647058825</v>
      </c>
      <c r="FP65" s="142">
        <f t="shared" si="33"/>
        <v>0.19052197802197804</v>
      </c>
      <c r="FQ65" s="180">
        <f t="shared" si="34"/>
        <v>4.8180013236267374E-2</v>
      </c>
    </row>
    <row r="66" spans="1:173" x14ac:dyDescent="0.15">
      <c r="A66" s="134">
        <v>57</v>
      </c>
      <c r="B66" t="s">
        <v>269</v>
      </c>
      <c r="C66">
        <v>4056</v>
      </c>
      <c r="D66">
        <v>2199</v>
      </c>
      <c r="E66">
        <v>2081</v>
      </c>
      <c r="F66">
        <v>1553</v>
      </c>
      <c r="H66">
        <v>91.35</v>
      </c>
      <c r="I66">
        <v>17.3</v>
      </c>
      <c r="K66">
        <v>3.52</v>
      </c>
      <c r="M66">
        <v>11.51</v>
      </c>
      <c r="T66">
        <v>26.25</v>
      </c>
      <c r="U66">
        <v>23.56</v>
      </c>
      <c r="V66">
        <v>1.31</v>
      </c>
      <c r="X66">
        <v>25.79</v>
      </c>
      <c r="AB66">
        <v>32.770000000000003</v>
      </c>
      <c r="AC66">
        <v>26</v>
      </c>
      <c r="AD66" s="136">
        <v>38.140700000000002</v>
      </c>
      <c r="AF66">
        <v>1.57</v>
      </c>
      <c r="AG66">
        <v>0.55000000000000004</v>
      </c>
      <c r="AH66">
        <v>0.62</v>
      </c>
      <c r="AI66">
        <v>1.25</v>
      </c>
      <c r="AJ66">
        <v>0.8</v>
      </c>
      <c r="AK66">
        <v>0.36</v>
      </c>
      <c r="AL66">
        <v>0.78</v>
      </c>
      <c r="AM66">
        <v>0.68</v>
      </c>
      <c r="AN66">
        <v>0.25</v>
      </c>
      <c r="AO66">
        <v>0.94</v>
      </c>
      <c r="AR66">
        <v>0.36</v>
      </c>
      <c r="AW66">
        <v>0.31</v>
      </c>
      <c r="AY66" s="23">
        <v>74.75</v>
      </c>
      <c r="AZ66">
        <v>83</v>
      </c>
      <c r="BA66">
        <v>75</v>
      </c>
      <c r="BB66">
        <v>75</v>
      </c>
      <c r="BC66">
        <v>75</v>
      </c>
      <c r="BD66">
        <v>70</v>
      </c>
      <c r="BE66">
        <v>78</v>
      </c>
      <c r="BF66">
        <v>74</v>
      </c>
      <c r="BG66">
        <v>69</v>
      </c>
      <c r="BH66">
        <v>76</v>
      </c>
      <c r="BI66">
        <v>73</v>
      </c>
      <c r="BL66">
        <v>63</v>
      </c>
      <c r="BQ66">
        <v>86</v>
      </c>
      <c r="BS66">
        <v>0.1</v>
      </c>
      <c r="BX66">
        <v>1.89</v>
      </c>
      <c r="CB66">
        <v>24</v>
      </c>
      <c r="CC66">
        <v>28</v>
      </c>
      <c r="CF66" s="4">
        <v>8.5202000000000009</v>
      </c>
      <c r="CH66" s="107">
        <v>0</v>
      </c>
      <c r="CI66" s="107">
        <v>0</v>
      </c>
      <c r="CJ66" s="107">
        <v>0</v>
      </c>
      <c r="CK66" s="107">
        <v>0</v>
      </c>
      <c r="CL66" s="107">
        <v>0</v>
      </c>
      <c r="CM66" s="107">
        <v>0</v>
      </c>
      <c r="CN66" s="107">
        <v>0</v>
      </c>
      <c r="CO66" s="107">
        <v>0</v>
      </c>
      <c r="CP66" s="107">
        <v>0</v>
      </c>
      <c r="CQ66" s="107">
        <v>0</v>
      </c>
      <c r="CR66" s="107">
        <v>0</v>
      </c>
      <c r="CS66" s="107">
        <v>0</v>
      </c>
      <c r="CT66" s="107">
        <v>0</v>
      </c>
      <c r="CU66" s="107"/>
      <c r="CV66" s="107">
        <v>12.931749999999999</v>
      </c>
      <c r="CW66" s="107">
        <f t="shared" si="56"/>
        <v>1.3030999999999999</v>
      </c>
      <c r="CX66" s="107">
        <f t="shared" si="57"/>
        <v>0.41249999999999998</v>
      </c>
      <c r="CY66" s="107">
        <f t="shared" si="58"/>
        <v>0.46500000000000002</v>
      </c>
      <c r="CZ66" s="107">
        <f t="shared" si="59"/>
        <v>0.9375</v>
      </c>
      <c r="DA66" s="107">
        <f t="shared" si="60"/>
        <v>0.56000000000000005</v>
      </c>
      <c r="DB66" s="107">
        <f t="shared" si="61"/>
        <v>0.28079999999999999</v>
      </c>
      <c r="DC66" s="107">
        <f t="shared" si="41"/>
        <v>0.50759999999999994</v>
      </c>
      <c r="DD66" s="107">
        <f t="shared" si="19"/>
        <v>0.57719999999999994</v>
      </c>
      <c r="DE66" s="107">
        <f t="shared" si="11"/>
        <v>0.84379999999999988</v>
      </c>
      <c r="DF66" s="107">
        <f t="shared" si="20"/>
        <v>0.46920000000000001</v>
      </c>
      <c r="DG66" s="107">
        <f t="shared" si="21"/>
        <v>0.19</v>
      </c>
      <c r="DH66" s="107">
        <f t="shared" si="22"/>
        <v>0.68619999999999992</v>
      </c>
      <c r="DI66" s="107"/>
      <c r="DJ66" s="107"/>
      <c r="DK66" s="107"/>
      <c r="DL66" s="107"/>
      <c r="DM66" s="107"/>
      <c r="DN66" s="107"/>
      <c r="DO66" s="107"/>
      <c r="DP66" s="107"/>
      <c r="DQ66">
        <f t="shared" si="26"/>
        <v>0.4536</v>
      </c>
      <c r="DR66">
        <f t="shared" si="27"/>
        <v>0.52919999999999989</v>
      </c>
      <c r="DS66">
        <f t="shared" si="42"/>
        <v>0</v>
      </c>
      <c r="DT66">
        <f t="shared" si="43"/>
        <v>0</v>
      </c>
      <c r="DU66"/>
      <c r="DV66" s="32"/>
      <c r="DW66" s="54">
        <f t="shared" si="45"/>
        <v>0</v>
      </c>
      <c r="DX66" s="33"/>
      <c r="DY66" s="34"/>
      <c r="DZ66" s="34"/>
      <c r="EA66" s="149"/>
      <c r="EB66" s="36">
        <f t="shared" si="62"/>
        <v>0</v>
      </c>
      <c r="EC66" s="80"/>
      <c r="ED66" s="80"/>
      <c r="EE66" s="81"/>
      <c r="EF66" s="81"/>
      <c r="EG66" s="390">
        <v>2.11</v>
      </c>
      <c r="EH66" s="70"/>
      <c r="EI66" s="38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48">
        <f t="shared" si="30"/>
        <v>0.73194666666666663</v>
      </c>
      <c r="FN66" s="48">
        <f t="shared" si="31"/>
        <v>0.49600000000000005</v>
      </c>
      <c r="FO66" s="142">
        <f t="shared" si="32"/>
        <v>1.4756989247311825</v>
      </c>
      <c r="FP66" s="142">
        <f t="shared" si="33"/>
        <v>0.20266666666666666</v>
      </c>
      <c r="FQ66" s="180">
        <f t="shared" si="34"/>
        <v>5.4190751445086706E-2</v>
      </c>
    </row>
    <row r="67" spans="1:173" x14ac:dyDescent="0.15">
      <c r="A67" s="134">
        <v>58</v>
      </c>
      <c r="B67" t="s">
        <v>270</v>
      </c>
      <c r="C67">
        <v>4290</v>
      </c>
      <c r="D67">
        <v>3565</v>
      </c>
      <c r="E67">
        <v>3511</v>
      </c>
      <c r="F67">
        <v>2778</v>
      </c>
      <c r="H67">
        <v>89</v>
      </c>
      <c r="I67">
        <v>7.9</v>
      </c>
      <c r="K67">
        <v>1.3</v>
      </c>
      <c r="M67">
        <v>0.8</v>
      </c>
      <c r="T67">
        <v>75.19</v>
      </c>
      <c r="U67">
        <v>12.2</v>
      </c>
      <c r="V67">
        <v>6.4</v>
      </c>
      <c r="AB67">
        <v>3.8100000000000023</v>
      </c>
      <c r="AC67">
        <v>34</v>
      </c>
      <c r="AD67" s="136">
        <v>39.973100000000002</v>
      </c>
      <c r="AF67">
        <v>0.52</v>
      </c>
      <c r="AG67">
        <v>0.18</v>
      </c>
      <c r="AH67">
        <v>0.34</v>
      </c>
      <c r="AI67">
        <v>0.67</v>
      </c>
      <c r="AJ67">
        <v>0.3</v>
      </c>
      <c r="AK67">
        <v>0.18</v>
      </c>
      <c r="AL67">
        <v>0.39</v>
      </c>
      <c r="AM67">
        <v>0.26</v>
      </c>
      <c r="AN67">
        <v>0.1</v>
      </c>
      <c r="AO67">
        <v>0.49</v>
      </c>
      <c r="AR67">
        <v>0.11</v>
      </c>
      <c r="AW67">
        <v>0.38</v>
      </c>
      <c r="AY67" s="23">
        <v>81.083333333333329</v>
      </c>
      <c r="AZ67">
        <v>89</v>
      </c>
      <c r="BA67">
        <v>84</v>
      </c>
      <c r="BB67">
        <v>81</v>
      </c>
      <c r="BC67">
        <v>83</v>
      </c>
      <c r="BD67">
        <v>77</v>
      </c>
      <c r="BE67">
        <v>85</v>
      </c>
      <c r="BF67">
        <v>84</v>
      </c>
      <c r="BG67">
        <v>76</v>
      </c>
      <c r="BH67">
        <v>77</v>
      </c>
      <c r="BI67">
        <v>78</v>
      </c>
      <c r="BL67">
        <v>73</v>
      </c>
      <c r="BQ67">
        <v>86</v>
      </c>
      <c r="BS67">
        <v>0.04</v>
      </c>
      <c r="BT67">
        <v>7.0000000000000007E-2</v>
      </c>
      <c r="BU67">
        <v>0.13</v>
      </c>
      <c r="BV67">
        <v>0.11</v>
      </c>
      <c r="BW67">
        <v>0.04</v>
      </c>
      <c r="BX67">
        <v>0.21</v>
      </c>
      <c r="BY67">
        <v>0.06</v>
      </c>
      <c r="CA67">
        <v>0.14000000000000001</v>
      </c>
      <c r="CB67">
        <v>31</v>
      </c>
      <c r="CC67">
        <v>38</v>
      </c>
      <c r="CF67" s="4">
        <v>1.2954000000000008</v>
      </c>
      <c r="CH67" s="107">
        <v>0</v>
      </c>
      <c r="CI67" s="107">
        <v>0</v>
      </c>
      <c r="CJ67" s="107">
        <v>0</v>
      </c>
      <c r="CK67" s="107">
        <v>0</v>
      </c>
      <c r="CL67" s="107">
        <v>0</v>
      </c>
      <c r="CM67" s="107">
        <v>0</v>
      </c>
      <c r="CN67" s="107">
        <v>0</v>
      </c>
      <c r="CO67" s="107">
        <v>0</v>
      </c>
      <c r="CP67" s="107">
        <v>0</v>
      </c>
      <c r="CQ67" s="107">
        <v>0</v>
      </c>
      <c r="CR67" s="107">
        <v>0</v>
      </c>
      <c r="CS67" s="107">
        <v>0</v>
      </c>
      <c r="CT67" s="107">
        <v>0</v>
      </c>
      <c r="CU67" s="107"/>
      <c r="CV67" s="107">
        <v>6.4055833333333325</v>
      </c>
      <c r="CW67" s="107">
        <f t="shared" si="56"/>
        <v>0.46279999999999999</v>
      </c>
      <c r="CX67" s="107">
        <f t="shared" si="57"/>
        <v>0.1512</v>
      </c>
      <c r="CY67" s="107">
        <f t="shared" si="58"/>
        <v>0.27540000000000003</v>
      </c>
      <c r="CZ67" s="107">
        <f t="shared" si="59"/>
        <v>0.55610000000000004</v>
      </c>
      <c r="DA67" s="107">
        <f t="shared" si="60"/>
        <v>0.23099999999999998</v>
      </c>
      <c r="DB67" s="107">
        <f t="shared" si="61"/>
        <v>0.153</v>
      </c>
      <c r="DC67" s="107">
        <f t="shared" si="41"/>
        <v>0.23329999999999998</v>
      </c>
      <c r="DD67" s="107">
        <f t="shared" si="19"/>
        <v>0.3276</v>
      </c>
      <c r="DE67" s="107">
        <f t="shared" si="11"/>
        <v>0.65439999999999998</v>
      </c>
      <c r="DF67" s="107">
        <f t="shared" si="20"/>
        <v>0.19760000000000003</v>
      </c>
      <c r="DG67" s="107">
        <f t="shared" si="21"/>
        <v>7.6999999999999999E-2</v>
      </c>
      <c r="DH67" s="107">
        <f t="shared" si="22"/>
        <v>0.38219999999999998</v>
      </c>
      <c r="DI67" s="107"/>
      <c r="DJ67" s="107"/>
      <c r="DK67" s="107"/>
      <c r="DL67" s="107"/>
      <c r="DM67" s="107"/>
      <c r="DN67" s="107"/>
      <c r="DO67" s="107"/>
      <c r="DP67" s="107"/>
      <c r="DQ67">
        <f t="shared" si="26"/>
        <v>6.5099999999999991E-2</v>
      </c>
      <c r="DR67">
        <f t="shared" si="27"/>
        <v>7.9799999999999996E-2</v>
      </c>
      <c r="DS67">
        <f t="shared" si="42"/>
        <v>0</v>
      </c>
      <c r="DT67">
        <f t="shared" si="43"/>
        <v>0</v>
      </c>
      <c r="DU67"/>
      <c r="DV67" s="32"/>
      <c r="DW67" s="54">
        <f t="shared" si="45"/>
        <v>0</v>
      </c>
      <c r="DX67" s="33"/>
      <c r="DY67" s="34"/>
      <c r="DZ67" s="34"/>
      <c r="EA67" s="149"/>
      <c r="EB67" s="36">
        <f t="shared" si="62"/>
        <v>0</v>
      </c>
      <c r="EC67" s="80"/>
      <c r="ED67" s="80"/>
      <c r="EE67" s="81"/>
      <c r="EF67" s="81"/>
      <c r="EG67" s="390">
        <v>0.06</v>
      </c>
      <c r="EH67" s="70"/>
      <c r="EI67" s="38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48">
        <f t="shared" si="30"/>
        <v>0.68728645926991538</v>
      </c>
      <c r="FN67" s="48">
        <f t="shared" si="31"/>
        <v>0.49523467002337712</v>
      </c>
      <c r="FO67" s="142">
        <f t="shared" si="32"/>
        <v>1.3877995642701524</v>
      </c>
      <c r="FP67" s="142">
        <f t="shared" si="33"/>
        <v>0.1384643049811185</v>
      </c>
      <c r="FQ67" s="180">
        <f t="shared" si="34"/>
        <v>7.0392405063291141E-2</v>
      </c>
    </row>
    <row r="68" spans="1:173" x14ac:dyDescent="0.15">
      <c r="A68" s="134">
        <v>59</v>
      </c>
      <c r="B68" t="s">
        <v>271</v>
      </c>
      <c r="C68">
        <v>4350</v>
      </c>
      <c r="D68">
        <v>3270</v>
      </c>
      <c r="E68">
        <v>3191</v>
      </c>
      <c r="F68">
        <v>2460</v>
      </c>
      <c r="H68">
        <v>89.4</v>
      </c>
      <c r="I68">
        <v>11.66</v>
      </c>
      <c r="J68">
        <v>2.71</v>
      </c>
      <c r="K68">
        <v>1.98</v>
      </c>
      <c r="M68">
        <v>1.78</v>
      </c>
      <c r="N68">
        <v>0</v>
      </c>
      <c r="O68">
        <v>0</v>
      </c>
      <c r="P68">
        <v>0</v>
      </c>
      <c r="Q68">
        <v>0</v>
      </c>
      <c r="R68">
        <v>0</v>
      </c>
      <c r="T68">
        <v>59.34</v>
      </c>
      <c r="U68">
        <v>12.26</v>
      </c>
      <c r="V68">
        <v>4.5999999999999996</v>
      </c>
      <c r="W68">
        <v>0.77</v>
      </c>
      <c r="AB68">
        <v>14.64</v>
      </c>
      <c r="AC68">
        <v>40</v>
      </c>
      <c r="AD68" s="136">
        <v>40.382200000000005</v>
      </c>
      <c r="AF68">
        <v>0.7</v>
      </c>
      <c r="AG68">
        <v>0.25</v>
      </c>
      <c r="AH68">
        <v>0.34</v>
      </c>
      <c r="AI68">
        <v>0.7</v>
      </c>
      <c r="AJ68">
        <v>0.43</v>
      </c>
      <c r="AK68">
        <v>0.16</v>
      </c>
      <c r="AL68">
        <v>0.5</v>
      </c>
      <c r="AM68">
        <v>0.37</v>
      </c>
      <c r="AN68">
        <v>0.1</v>
      </c>
      <c r="AO68">
        <v>0.49</v>
      </c>
      <c r="AR68">
        <v>0.19</v>
      </c>
      <c r="AW68">
        <v>0.25</v>
      </c>
      <c r="AY68">
        <v>83</v>
      </c>
      <c r="AZ68">
        <v>79</v>
      </c>
      <c r="BA68">
        <v>79</v>
      </c>
      <c r="BB68">
        <v>78</v>
      </c>
      <c r="BC68">
        <v>79</v>
      </c>
      <c r="BD68">
        <v>74</v>
      </c>
      <c r="BE68">
        <v>81</v>
      </c>
      <c r="BF68">
        <v>82</v>
      </c>
      <c r="BG68">
        <v>74</v>
      </c>
      <c r="BH68">
        <v>76</v>
      </c>
      <c r="BI68">
        <v>77</v>
      </c>
      <c r="BL68">
        <v>83</v>
      </c>
      <c r="BQ68">
        <v>76</v>
      </c>
      <c r="BS68">
        <v>0.08</v>
      </c>
      <c r="BT68">
        <v>0.03</v>
      </c>
      <c r="BU68">
        <v>0.48</v>
      </c>
      <c r="BV68">
        <v>0.12</v>
      </c>
      <c r="BW68">
        <v>0.02</v>
      </c>
      <c r="BX68">
        <v>0.3</v>
      </c>
      <c r="BY68">
        <v>0.15</v>
      </c>
      <c r="CA68">
        <v>0.2</v>
      </c>
      <c r="CB68">
        <v>43</v>
      </c>
      <c r="CC68">
        <v>50</v>
      </c>
      <c r="CF68" s="4">
        <v>5.8559999999999999</v>
      </c>
      <c r="CH68" s="107">
        <v>8.045399999999999</v>
      </c>
      <c r="CI68" s="107">
        <v>0.5109999999999999</v>
      </c>
      <c r="CJ68" s="107">
        <v>0.17749999999999999</v>
      </c>
      <c r="CK68" s="107">
        <v>0.23120000000000002</v>
      </c>
      <c r="CL68" s="107">
        <v>0.49699999999999994</v>
      </c>
      <c r="CM68" s="107">
        <v>0.2752</v>
      </c>
      <c r="CN68" s="107">
        <v>0.1216</v>
      </c>
      <c r="CO68" s="107">
        <v>0.26219999999999999</v>
      </c>
      <c r="CP68" s="107">
        <v>0.38</v>
      </c>
      <c r="CQ68" s="107">
        <v>0.54249999999999998</v>
      </c>
      <c r="CR68" s="107">
        <v>0.21829999999999999</v>
      </c>
      <c r="CS68" s="107">
        <v>6.7000000000000004E-2</v>
      </c>
      <c r="CT68" s="107">
        <v>0.32829999999999998</v>
      </c>
      <c r="CU68" s="107"/>
      <c r="CV68" s="107">
        <v>9.6777999999999995</v>
      </c>
      <c r="CW68" s="107">
        <f t="shared" si="56"/>
        <v>0.55299999999999994</v>
      </c>
      <c r="CX68" s="107">
        <f t="shared" si="57"/>
        <v>0.19750000000000001</v>
      </c>
      <c r="CY68" s="107">
        <f t="shared" si="58"/>
        <v>0.26520000000000005</v>
      </c>
      <c r="CZ68" s="107">
        <f t="shared" si="59"/>
        <v>0.55299999999999994</v>
      </c>
      <c r="DA68" s="107">
        <f t="shared" si="60"/>
        <v>0.31819999999999998</v>
      </c>
      <c r="DB68" s="107">
        <f t="shared" si="61"/>
        <v>0.12960000000000002</v>
      </c>
      <c r="DC68" s="107">
        <f t="shared" si="41"/>
        <v>0.2873</v>
      </c>
      <c r="DD68" s="107">
        <f t="shared" si="19"/>
        <v>0.41</v>
      </c>
      <c r="DE68" s="107">
        <f t="shared" si="11"/>
        <v>0.6</v>
      </c>
      <c r="DF68" s="107">
        <f t="shared" si="20"/>
        <v>0.27379999999999999</v>
      </c>
      <c r="DG68" s="107">
        <f t="shared" si="21"/>
        <v>7.6000000000000012E-2</v>
      </c>
      <c r="DH68" s="107">
        <f t="shared" si="22"/>
        <v>0.37729999999999997</v>
      </c>
      <c r="DI68" s="107"/>
      <c r="DJ68" s="107"/>
      <c r="DK68" s="107"/>
      <c r="DL68" s="107"/>
      <c r="DM68" s="107"/>
      <c r="DN68" s="107"/>
      <c r="DO68" s="107"/>
      <c r="DP68" s="107"/>
      <c r="DQ68">
        <f t="shared" si="26"/>
        <v>0.129</v>
      </c>
      <c r="DR68">
        <f t="shared" si="27"/>
        <v>0.15</v>
      </c>
      <c r="DS68">
        <f t="shared" si="42"/>
        <v>0</v>
      </c>
      <c r="DT68">
        <f t="shared" si="43"/>
        <v>0</v>
      </c>
      <c r="DU68"/>
      <c r="DV68" s="32"/>
      <c r="DW68" s="54">
        <f t="shared" si="45"/>
        <v>0</v>
      </c>
      <c r="DX68" s="33"/>
      <c r="DY68" s="34"/>
      <c r="DZ68" s="34"/>
      <c r="EA68" s="149"/>
      <c r="EB68" s="36">
        <f t="shared" si="62"/>
        <v>0</v>
      </c>
      <c r="EC68" s="80"/>
      <c r="ED68" s="80"/>
      <c r="EE68" s="81"/>
      <c r="EF68" s="81"/>
      <c r="EG68" s="390">
        <v>0.2</v>
      </c>
      <c r="EH68" s="70"/>
      <c r="EI68" s="38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48">
        <f t="shared" si="30"/>
        <v>0.6822784810126582</v>
      </c>
      <c r="FN68" s="48">
        <f t="shared" si="31"/>
        <v>0.47956600361663665</v>
      </c>
      <c r="FO68" s="142">
        <f t="shared" si="32"/>
        <v>1.422699849170437</v>
      </c>
      <c r="FP68" s="142">
        <f t="shared" si="33"/>
        <v>0.13743218806509949</v>
      </c>
      <c r="FQ68" s="180">
        <f t="shared" si="34"/>
        <v>4.7427101200686099E-2</v>
      </c>
    </row>
    <row r="69" spans="1:173" x14ac:dyDescent="0.15">
      <c r="A69" s="134">
        <v>60</v>
      </c>
      <c r="B69" t="s">
        <v>272</v>
      </c>
      <c r="C69">
        <v>4702</v>
      </c>
      <c r="D69">
        <v>3350</v>
      </c>
      <c r="E69">
        <v>3060</v>
      </c>
      <c r="F69">
        <v>1972</v>
      </c>
      <c r="H69">
        <v>93</v>
      </c>
      <c r="I69">
        <v>42.6</v>
      </c>
      <c r="K69">
        <v>7.5</v>
      </c>
      <c r="M69">
        <v>12.7</v>
      </c>
      <c r="T69">
        <v>1.8</v>
      </c>
      <c r="U69">
        <v>18</v>
      </c>
      <c r="V69">
        <v>13.2</v>
      </c>
      <c r="AB69">
        <v>28.4</v>
      </c>
      <c r="AC69">
        <v>64</v>
      </c>
      <c r="AD69" s="136">
        <v>41.85</v>
      </c>
      <c r="AF69">
        <v>4.8600000000000003</v>
      </c>
      <c r="AG69">
        <v>0.98</v>
      </c>
      <c r="AH69">
        <v>1.47</v>
      </c>
      <c r="AI69">
        <v>2.74</v>
      </c>
      <c r="AJ69">
        <v>1.01</v>
      </c>
      <c r="AK69">
        <v>1.1499999999999999</v>
      </c>
      <c r="AL69">
        <v>1.77</v>
      </c>
      <c r="AM69">
        <v>1.44</v>
      </c>
      <c r="AN69">
        <v>0.54</v>
      </c>
      <c r="AO69">
        <v>1.87</v>
      </c>
      <c r="AR69">
        <v>0.82</v>
      </c>
      <c r="AW69">
        <v>1.52</v>
      </c>
      <c r="AY69" s="23">
        <v>89.666666666666671</v>
      </c>
      <c r="AZ69">
        <v>96</v>
      </c>
      <c r="BA69">
        <v>84</v>
      </c>
      <c r="BB69">
        <v>87</v>
      </c>
      <c r="BC69">
        <v>92</v>
      </c>
      <c r="BD69">
        <v>85</v>
      </c>
      <c r="BE69">
        <v>92</v>
      </c>
      <c r="BF69">
        <v>93</v>
      </c>
      <c r="BG69">
        <v>90</v>
      </c>
      <c r="BH69">
        <v>85</v>
      </c>
      <c r="BI69">
        <v>89</v>
      </c>
      <c r="BL69">
        <v>92</v>
      </c>
      <c r="BQ69">
        <v>91</v>
      </c>
      <c r="BS69">
        <v>1.7</v>
      </c>
      <c r="BT69">
        <v>7.0000000000000007E-2</v>
      </c>
      <c r="BU69">
        <v>1.1000000000000001</v>
      </c>
      <c r="BV69">
        <v>0.54</v>
      </c>
      <c r="BW69">
        <v>0.04</v>
      </c>
      <c r="BX69">
        <v>1.18</v>
      </c>
      <c r="BY69">
        <v>0.56000000000000005</v>
      </c>
      <c r="CA69">
        <v>0.89</v>
      </c>
      <c r="CB69">
        <v>29</v>
      </c>
      <c r="CC69">
        <v>42</v>
      </c>
      <c r="CF69" s="4">
        <v>18.175999999999998</v>
      </c>
      <c r="CH69" s="107">
        <v>34.506</v>
      </c>
      <c r="CI69" s="107">
        <v>4.5684000000000005</v>
      </c>
      <c r="CJ69" s="107">
        <v>0.74480000000000002</v>
      </c>
      <c r="CK69" s="107">
        <v>1.2495000000000001</v>
      </c>
      <c r="CL69" s="107">
        <v>2.3290000000000002</v>
      </c>
      <c r="CM69" s="107">
        <v>0.76760000000000006</v>
      </c>
      <c r="CN69" s="107">
        <v>1.0349999999999999</v>
      </c>
      <c r="CO69" s="107">
        <v>1.7401999999999997</v>
      </c>
      <c r="CP69" s="107">
        <v>1.5752999999999999</v>
      </c>
      <c r="CQ69" s="107">
        <v>2.8976999999999999</v>
      </c>
      <c r="CR69" s="107">
        <v>1.1232</v>
      </c>
      <c r="CS69" s="107">
        <v>0.45900000000000007</v>
      </c>
      <c r="CT69" s="107">
        <v>1.5708000000000002</v>
      </c>
      <c r="CU69" s="107"/>
      <c r="CV69" s="107">
        <v>38.198</v>
      </c>
      <c r="CW69" s="107">
        <f t="shared" si="56"/>
        <v>4.6656000000000004</v>
      </c>
      <c r="CX69" s="107">
        <f t="shared" si="57"/>
        <v>0.82319999999999993</v>
      </c>
      <c r="CY69" s="107">
        <f t="shared" si="58"/>
        <v>1.2788999999999999</v>
      </c>
      <c r="CZ69" s="107">
        <f t="shared" si="59"/>
        <v>2.5207999999999999</v>
      </c>
      <c r="DA69" s="107">
        <f t="shared" si="60"/>
        <v>0.85849999999999993</v>
      </c>
      <c r="DB69" s="107">
        <f t="shared" si="61"/>
        <v>1.0580000000000001</v>
      </c>
      <c r="DC69" s="107">
        <f t="shared" si="41"/>
        <v>1.8124</v>
      </c>
      <c r="DD69" s="107">
        <f t="shared" si="19"/>
        <v>1.6461000000000001</v>
      </c>
      <c r="DE69" s="107">
        <f t="shared" si="11"/>
        <v>3.0293000000000001</v>
      </c>
      <c r="DF69" s="107">
        <f t="shared" si="20"/>
        <v>1.296</v>
      </c>
      <c r="DG69" s="107">
        <f t="shared" si="21"/>
        <v>0.45900000000000007</v>
      </c>
      <c r="DH69" s="107">
        <f t="shared" si="22"/>
        <v>1.6643000000000001</v>
      </c>
      <c r="DI69" s="107"/>
      <c r="DJ69" s="107"/>
      <c r="DK69" s="107"/>
      <c r="DL69" s="107"/>
      <c r="DM69" s="107"/>
      <c r="DN69" s="107"/>
      <c r="DO69" s="107"/>
      <c r="DP69" s="107"/>
      <c r="DQ69">
        <f t="shared" si="26"/>
        <v>0.3422</v>
      </c>
      <c r="DR69">
        <f t="shared" si="27"/>
        <v>0.49559999999999993</v>
      </c>
      <c r="DS69">
        <f t="shared" si="42"/>
        <v>0</v>
      </c>
      <c r="DT69">
        <f t="shared" si="43"/>
        <v>0</v>
      </c>
      <c r="DU69"/>
      <c r="DV69" s="32"/>
      <c r="DW69" s="54">
        <f t="shared" si="45"/>
        <v>0</v>
      </c>
      <c r="DX69" s="33"/>
      <c r="DY69" s="34"/>
      <c r="DZ69" s="34"/>
      <c r="EA69" s="149"/>
      <c r="EB69" s="36">
        <f t="shared" si="62"/>
        <v>0</v>
      </c>
      <c r="EC69" s="80"/>
      <c r="ED69" s="80"/>
      <c r="EE69" s="81"/>
      <c r="EF69" s="81"/>
      <c r="EG69" s="390">
        <v>0.89</v>
      </c>
      <c r="EH69" s="70"/>
      <c r="EI69" s="38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48">
        <f t="shared" si="30"/>
        <v>0.66022691209139961</v>
      </c>
      <c r="FN69" s="48">
        <f t="shared" si="31"/>
        <v>0.50733894001904156</v>
      </c>
      <c r="FO69" s="142">
        <f t="shared" si="32"/>
        <v>1.3013527249980454</v>
      </c>
      <c r="FP69" s="142">
        <f t="shared" si="33"/>
        <v>0.18208505236432881</v>
      </c>
      <c r="FQ69" s="180">
        <f t="shared" si="34"/>
        <v>5.9173708920187792E-2</v>
      </c>
    </row>
    <row r="70" spans="1:173" x14ac:dyDescent="0.15">
      <c r="A70" s="134">
        <v>61</v>
      </c>
      <c r="B70" t="s">
        <v>273</v>
      </c>
      <c r="C70">
        <v>3881</v>
      </c>
      <c r="D70">
        <v>3596</v>
      </c>
      <c r="E70">
        <v>3532</v>
      </c>
      <c r="F70">
        <v>2780</v>
      </c>
      <c r="H70">
        <v>89.39</v>
      </c>
      <c r="I70">
        <v>9.36</v>
      </c>
      <c r="J70">
        <v>2.14</v>
      </c>
      <c r="K70">
        <v>3.42</v>
      </c>
      <c r="L70">
        <v>2.12</v>
      </c>
      <c r="M70">
        <v>1.64</v>
      </c>
      <c r="N70">
        <v>0</v>
      </c>
      <c r="O70">
        <v>0</v>
      </c>
      <c r="P70">
        <v>0</v>
      </c>
      <c r="Q70">
        <v>0</v>
      </c>
      <c r="R70">
        <v>0</v>
      </c>
      <c r="T70">
        <v>70.05</v>
      </c>
      <c r="U70">
        <v>10.63</v>
      </c>
      <c r="V70">
        <v>4.93</v>
      </c>
      <c r="W70">
        <v>0.44</v>
      </c>
      <c r="X70">
        <v>4.3499999999999996</v>
      </c>
      <c r="AB70">
        <v>4.9200000000000017</v>
      </c>
      <c r="AC70">
        <v>66</v>
      </c>
      <c r="AD70" s="136">
        <v>40.595999999999997</v>
      </c>
      <c r="AF70">
        <v>0.36</v>
      </c>
      <c r="AG70">
        <v>0.21</v>
      </c>
      <c r="AH70">
        <v>0.36</v>
      </c>
      <c r="AI70">
        <v>1.21</v>
      </c>
      <c r="AJ70">
        <v>0.2</v>
      </c>
      <c r="AK70">
        <v>0.16</v>
      </c>
      <c r="AL70">
        <v>0.48</v>
      </c>
      <c r="AM70">
        <v>0.3</v>
      </c>
      <c r="AN70">
        <v>7.0000000000000007E-2</v>
      </c>
      <c r="AO70">
        <v>0.46</v>
      </c>
      <c r="AR70">
        <v>0.18</v>
      </c>
      <c r="AW70">
        <v>0.32</v>
      </c>
      <c r="AY70">
        <v>77</v>
      </c>
      <c r="AZ70">
        <v>80</v>
      </c>
      <c r="BA70">
        <v>74</v>
      </c>
      <c r="BB70">
        <v>78</v>
      </c>
      <c r="BC70">
        <v>83</v>
      </c>
      <c r="BD70">
        <v>74</v>
      </c>
      <c r="BE70">
        <v>79</v>
      </c>
      <c r="BF70">
        <v>83</v>
      </c>
      <c r="BG70">
        <v>75</v>
      </c>
      <c r="BH70">
        <v>74</v>
      </c>
      <c r="BI70">
        <v>77</v>
      </c>
      <c r="BL70">
        <v>67</v>
      </c>
      <c r="BQ70">
        <v>75</v>
      </c>
      <c r="BS70">
        <v>0.02</v>
      </c>
      <c r="BT70">
        <v>0.09</v>
      </c>
      <c r="BU70">
        <v>0.35</v>
      </c>
      <c r="BV70">
        <v>0.15</v>
      </c>
      <c r="BW70">
        <v>0.01</v>
      </c>
      <c r="BX70">
        <v>0.27</v>
      </c>
      <c r="BY70">
        <v>0.08</v>
      </c>
      <c r="CA70">
        <v>0.18</v>
      </c>
      <c r="CB70">
        <v>30</v>
      </c>
      <c r="CC70">
        <v>40</v>
      </c>
      <c r="CF70" s="4">
        <v>3.2472000000000012</v>
      </c>
      <c r="CH70" s="107">
        <v>5.8967999999999998</v>
      </c>
      <c r="CI70" s="107">
        <v>0.24480000000000002</v>
      </c>
      <c r="CJ70" s="107">
        <v>0.13439999999999999</v>
      </c>
      <c r="CK70" s="107">
        <v>0.24840000000000001</v>
      </c>
      <c r="CL70" s="107">
        <v>0.94379999999999997</v>
      </c>
      <c r="CM70" s="107">
        <v>0.10600000000000001</v>
      </c>
      <c r="CN70" s="107">
        <v>0.11840000000000001</v>
      </c>
      <c r="CO70" s="107">
        <v>0.21920000000000001</v>
      </c>
      <c r="CP70" s="107">
        <v>0.36479999999999996</v>
      </c>
      <c r="CQ70" s="107">
        <v>0.58560000000000001</v>
      </c>
      <c r="CR70" s="107">
        <v>0.16200000000000001</v>
      </c>
      <c r="CS70" s="107">
        <v>4.5500000000000006E-2</v>
      </c>
      <c r="CT70" s="107">
        <v>0.30360000000000004</v>
      </c>
      <c r="CU70" s="107"/>
      <c r="CV70" s="107">
        <v>7.2071999999999994</v>
      </c>
      <c r="CW70" s="107">
        <f t="shared" si="56"/>
        <v>0.28799999999999998</v>
      </c>
      <c r="CX70" s="107">
        <f t="shared" si="57"/>
        <v>0.15539999999999998</v>
      </c>
      <c r="CY70" s="107">
        <f t="shared" si="58"/>
        <v>0.28079999999999999</v>
      </c>
      <c r="CZ70" s="107">
        <f t="shared" si="59"/>
        <v>1.0043</v>
      </c>
      <c r="DA70" s="107">
        <f t="shared" si="60"/>
        <v>0.14800000000000002</v>
      </c>
      <c r="DB70" s="107">
        <f t="shared" si="61"/>
        <v>0.12640000000000001</v>
      </c>
      <c r="DC70" s="107">
        <f t="shared" si="41"/>
        <v>0.247</v>
      </c>
      <c r="DD70" s="107">
        <f t="shared" si="19"/>
        <v>0.39839999999999998</v>
      </c>
      <c r="DE70" s="107">
        <f t="shared" si="11"/>
        <v>0.63839999999999997</v>
      </c>
      <c r="DF70" s="107">
        <f t="shared" si="20"/>
        <v>0.22500000000000001</v>
      </c>
      <c r="DG70" s="107">
        <f t="shared" si="21"/>
        <v>5.1800000000000006E-2</v>
      </c>
      <c r="DH70" s="107">
        <f t="shared" si="22"/>
        <v>0.35420000000000001</v>
      </c>
      <c r="DI70" s="107"/>
      <c r="DJ70" s="107"/>
      <c r="DK70" s="107"/>
      <c r="DL70" s="107"/>
      <c r="DM70" s="107"/>
      <c r="DN70" s="107"/>
      <c r="DO70" s="107"/>
      <c r="DP70" s="107"/>
      <c r="DQ70">
        <f t="shared" si="26"/>
        <v>8.1000000000000016E-2</v>
      </c>
      <c r="DR70">
        <f t="shared" si="27"/>
        <v>0.10800000000000001</v>
      </c>
      <c r="DS70">
        <f t="shared" si="42"/>
        <v>0</v>
      </c>
      <c r="DT70">
        <f t="shared" si="43"/>
        <v>0</v>
      </c>
      <c r="DU70"/>
      <c r="DV70" s="32"/>
      <c r="DW70" s="54">
        <f t="shared" si="45"/>
        <v>200</v>
      </c>
      <c r="DX70" s="33">
        <v>0.1</v>
      </c>
      <c r="DY70" s="34">
        <v>2620</v>
      </c>
      <c r="DZ70" s="34">
        <v>2650</v>
      </c>
      <c r="EA70" s="35">
        <v>0.2</v>
      </c>
      <c r="EB70" s="36">
        <f t="shared" si="62"/>
        <v>5.4000000000000006E-2</v>
      </c>
      <c r="EC70" s="37">
        <v>1.1299999999999999</v>
      </c>
      <c r="ED70" s="80">
        <v>0</v>
      </c>
      <c r="EE70" s="81">
        <v>0</v>
      </c>
      <c r="EF70" s="81"/>
      <c r="EG70" s="390">
        <v>0.23</v>
      </c>
      <c r="EH70" s="70">
        <f>120*K70/10</f>
        <v>41.04</v>
      </c>
      <c r="EI70" s="38">
        <f>IF(AR70="","",AR70*BL70)</f>
        <v>12.059999999999999</v>
      </c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>
        <v>46.26</v>
      </c>
      <c r="FJ70" s="37">
        <v>2.2999999999999998</v>
      </c>
      <c r="FK70" s="47">
        <f>SUM(FI70:FJ70)/100*K70</f>
        <v>1.6607519999999998</v>
      </c>
      <c r="FL70" s="37"/>
      <c r="FM70" s="48">
        <f t="shared" si="30"/>
        <v>0.35268346111719606</v>
      </c>
      <c r="FN70" s="48">
        <f t="shared" si="31"/>
        <v>0.27959772976202329</v>
      </c>
      <c r="FO70" s="142">
        <f t="shared" si="32"/>
        <v>1.2613960113960114</v>
      </c>
      <c r="FP70" s="142">
        <f t="shared" si="33"/>
        <v>5.1578213681170972E-2</v>
      </c>
      <c r="FQ70" s="180">
        <f t="shared" si="34"/>
        <v>0.10729700854700855</v>
      </c>
    </row>
    <row r="71" spans="1:173" ht="12.75" customHeight="1" x14ac:dyDescent="0.15">
      <c r="A71" s="134">
        <v>62</v>
      </c>
      <c r="B71" t="s">
        <v>274</v>
      </c>
      <c r="C71">
        <v>5227</v>
      </c>
      <c r="D71">
        <v>4193</v>
      </c>
      <c r="E71">
        <v>3938</v>
      </c>
      <c r="F71">
        <v>2874</v>
      </c>
      <c r="H71">
        <v>92.36</v>
      </c>
      <c r="I71">
        <v>37.56</v>
      </c>
      <c r="J71">
        <v>4.07</v>
      </c>
      <c r="K71">
        <v>20.18</v>
      </c>
      <c r="L71">
        <v>15.03</v>
      </c>
      <c r="M71">
        <v>4.8899999999999997</v>
      </c>
      <c r="O71">
        <v>6.42</v>
      </c>
      <c r="P71">
        <v>0.77</v>
      </c>
      <c r="Q71">
        <v>3.89</v>
      </c>
      <c r="R71">
        <v>0.03</v>
      </c>
      <c r="T71">
        <v>1.89</v>
      </c>
      <c r="U71">
        <v>10</v>
      </c>
      <c r="V71">
        <v>6.17</v>
      </c>
      <c r="X71">
        <v>31.45</v>
      </c>
      <c r="AB71">
        <v>21.419999999999995</v>
      </c>
      <c r="AC71">
        <v>87</v>
      </c>
      <c r="AD71" s="136">
        <v>48.269899999999993</v>
      </c>
      <c r="AF71">
        <v>2.4500000000000002</v>
      </c>
      <c r="AG71">
        <v>0.88</v>
      </c>
      <c r="AH71">
        <v>1.6</v>
      </c>
      <c r="AI71">
        <v>2.67</v>
      </c>
      <c r="AJ71">
        <v>2.23</v>
      </c>
      <c r="AK71">
        <v>0.55000000000000004</v>
      </c>
      <c r="AL71">
        <v>1.74</v>
      </c>
      <c r="AM71">
        <v>1.42</v>
      </c>
      <c r="AN71">
        <v>0.49</v>
      </c>
      <c r="AO71">
        <v>1.73</v>
      </c>
      <c r="AR71">
        <v>0.59</v>
      </c>
      <c r="AW71">
        <v>1.2</v>
      </c>
      <c r="AY71">
        <v>79</v>
      </c>
      <c r="AZ71">
        <v>87</v>
      </c>
      <c r="BA71">
        <v>81</v>
      </c>
      <c r="BB71">
        <v>78</v>
      </c>
      <c r="BC71">
        <v>78</v>
      </c>
      <c r="BD71">
        <v>81</v>
      </c>
      <c r="BE71">
        <v>80</v>
      </c>
      <c r="BF71">
        <v>79</v>
      </c>
      <c r="BG71">
        <v>76</v>
      </c>
      <c r="BH71">
        <v>82</v>
      </c>
      <c r="BI71">
        <v>77</v>
      </c>
      <c r="BL71">
        <v>76</v>
      </c>
      <c r="BQ71">
        <v>81</v>
      </c>
      <c r="BS71">
        <v>0.31</v>
      </c>
      <c r="BT71">
        <v>0.03</v>
      </c>
      <c r="BU71">
        <v>1.64</v>
      </c>
      <c r="BV71">
        <v>0.28000000000000003</v>
      </c>
      <c r="BW71">
        <v>0.03</v>
      </c>
      <c r="BX71">
        <v>0.53</v>
      </c>
      <c r="BY71">
        <v>0.3</v>
      </c>
      <c r="CA71">
        <v>0.33</v>
      </c>
      <c r="CB71">
        <v>39</v>
      </c>
      <c r="CC71">
        <v>48</v>
      </c>
      <c r="CD71">
        <v>78</v>
      </c>
      <c r="CE71" s="139">
        <v>85</v>
      </c>
      <c r="CF71" s="4">
        <v>18.635399999999994</v>
      </c>
      <c r="CH71" s="107">
        <v>27.7944</v>
      </c>
      <c r="CI71" s="107">
        <v>2.0580000000000003</v>
      </c>
      <c r="CJ71" s="107">
        <v>0.68640000000000001</v>
      </c>
      <c r="CK71" s="107">
        <v>1.2</v>
      </c>
      <c r="CL71" s="107">
        <v>2.0024999999999999</v>
      </c>
      <c r="CM71" s="107">
        <v>1.7616999999999998</v>
      </c>
      <c r="CN71" s="107">
        <v>0.41249999999999998</v>
      </c>
      <c r="CO71" s="107">
        <v>0.8254999999999999</v>
      </c>
      <c r="CP71" s="107">
        <v>1.3397999999999999</v>
      </c>
      <c r="CQ71" s="107">
        <v>2.2637999999999998</v>
      </c>
      <c r="CR71" s="107">
        <v>1.0082</v>
      </c>
      <c r="CS71" s="107">
        <v>0.3871</v>
      </c>
      <c r="CT71" s="107">
        <v>1.2628999999999999</v>
      </c>
      <c r="CU71" s="107"/>
      <c r="CV71" s="107">
        <v>29.672400000000003</v>
      </c>
      <c r="CW71" s="107">
        <f t="shared" si="56"/>
        <v>2.1315</v>
      </c>
      <c r="CX71" s="107">
        <f t="shared" si="57"/>
        <v>0.71279999999999999</v>
      </c>
      <c r="CY71" s="107">
        <f t="shared" si="58"/>
        <v>1.2480000000000002</v>
      </c>
      <c r="CZ71" s="107">
        <f t="shared" si="59"/>
        <v>2.0825999999999998</v>
      </c>
      <c r="DA71" s="107">
        <f t="shared" si="60"/>
        <v>1.8063</v>
      </c>
      <c r="DB71" s="107">
        <f t="shared" si="61"/>
        <v>0.44</v>
      </c>
      <c r="DC71" s="107">
        <f t="shared" si="41"/>
        <v>0.88840000000000008</v>
      </c>
      <c r="DD71" s="107">
        <f t="shared" si="19"/>
        <v>1.3746</v>
      </c>
      <c r="DE71" s="107">
        <f t="shared" si="11"/>
        <v>2.3466</v>
      </c>
      <c r="DF71" s="107">
        <f t="shared" si="20"/>
        <v>1.0791999999999999</v>
      </c>
      <c r="DG71" s="107">
        <f t="shared" si="21"/>
        <v>0.40179999999999999</v>
      </c>
      <c r="DH71" s="107">
        <f t="shared" si="22"/>
        <v>1.3321000000000001</v>
      </c>
      <c r="DI71" s="107"/>
      <c r="DJ71" s="107"/>
      <c r="DK71" s="107"/>
      <c r="DL71" s="107"/>
      <c r="DM71" s="107"/>
      <c r="DN71" s="107"/>
      <c r="DO71" s="107"/>
      <c r="DP71" s="107"/>
      <c r="DQ71">
        <f t="shared" si="26"/>
        <v>0.20670000000000002</v>
      </c>
      <c r="DR71">
        <f t="shared" si="27"/>
        <v>0.25440000000000002</v>
      </c>
      <c r="DS71">
        <f t="shared" si="42"/>
        <v>0.24179999999999999</v>
      </c>
      <c r="DT71">
        <f t="shared" si="43"/>
        <v>0.26350000000000001</v>
      </c>
      <c r="DU71"/>
      <c r="DV71" s="39"/>
      <c r="DW71" s="54">
        <f t="shared" si="45"/>
        <v>400</v>
      </c>
      <c r="DX71" s="33">
        <v>0.2</v>
      </c>
      <c r="DY71" s="34">
        <v>2556</v>
      </c>
      <c r="DZ71" s="34">
        <v>2748</v>
      </c>
      <c r="EA71" s="35">
        <v>0.31</v>
      </c>
      <c r="EB71" s="36">
        <f t="shared" si="62"/>
        <v>0.1643</v>
      </c>
      <c r="EC71" s="37">
        <v>9.1300000000000008</v>
      </c>
      <c r="ED71" s="80">
        <v>0</v>
      </c>
      <c r="EE71" s="81">
        <v>0</v>
      </c>
      <c r="EF71" s="81"/>
      <c r="EG71" s="390">
        <v>0.33</v>
      </c>
      <c r="EH71" s="126">
        <f>130*K71/10</f>
        <v>262.34000000000003</v>
      </c>
      <c r="EI71" s="38">
        <f>IF(AR71="","",AR71*BL71)</f>
        <v>44.839999999999996</v>
      </c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>
        <v>54.83</v>
      </c>
      <c r="FJ71" s="37">
        <v>7.66</v>
      </c>
      <c r="FK71" s="47">
        <f>SUM(FI71:FJ71)/100*K71</f>
        <v>12.610481999999998</v>
      </c>
      <c r="FL71" s="37"/>
      <c r="FM71" s="48">
        <f t="shared" si="30"/>
        <v>0.63963315086910599</v>
      </c>
      <c r="FN71" s="48">
        <f t="shared" si="31"/>
        <v>0.59925093632958815</v>
      </c>
      <c r="FO71" s="142">
        <f t="shared" si="32"/>
        <v>1.0673878205128204</v>
      </c>
      <c r="FP71" s="142">
        <f t="shared" si="33"/>
        <v>0.19293191203303564</v>
      </c>
      <c r="FQ71" s="180">
        <f t="shared" si="34"/>
        <v>5.5447284345047913E-2</v>
      </c>
    </row>
    <row r="72" spans="1:173" ht="12.75" customHeight="1" x14ac:dyDescent="0.15">
      <c r="A72" s="134">
        <v>63</v>
      </c>
      <c r="B72" t="s">
        <v>275</v>
      </c>
      <c r="C72">
        <v>5306</v>
      </c>
      <c r="H72">
        <v>92.38</v>
      </c>
      <c r="I72">
        <v>42.77</v>
      </c>
      <c r="K72">
        <v>15.59</v>
      </c>
      <c r="M72">
        <v>4.8</v>
      </c>
      <c r="O72">
        <v>4.75</v>
      </c>
      <c r="P72">
        <v>0.85</v>
      </c>
      <c r="Q72">
        <v>4.01</v>
      </c>
      <c r="T72">
        <v>1.89</v>
      </c>
      <c r="U72">
        <v>8.24</v>
      </c>
      <c r="V72">
        <v>5.4</v>
      </c>
      <c r="AB72">
        <v>22.579999999999995</v>
      </c>
      <c r="AC72">
        <v>87</v>
      </c>
      <c r="AD72" s="136">
        <v>47.3583</v>
      </c>
      <c r="AF72">
        <v>3.16</v>
      </c>
      <c r="AG72">
        <v>1.07</v>
      </c>
      <c r="AH72">
        <v>1.51</v>
      </c>
      <c r="AI72">
        <v>3.34</v>
      </c>
      <c r="AJ72">
        <v>2.5</v>
      </c>
      <c r="AK72">
        <v>0.56999999999999995</v>
      </c>
      <c r="AL72">
        <v>2.25</v>
      </c>
      <c r="AM72">
        <v>1.57</v>
      </c>
      <c r="AN72">
        <v>0.48</v>
      </c>
      <c r="AO72">
        <v>1.76</v>
      </c>
      <c r="AR72">
        <v>0.61</v>
      </c>
      <c r="AW72">
        <v>1.51</v>
      </c>
      <c r="AY72">
        <v>92</v>
      </c>
      <c r="AZ72">
        <v>97</v>
      </c>
      <c r="BA72">
        <v>92</v>
      </c>
      <c r="BB72">
        <v>92</v>
      </c>
      <c r="BC72">
        <v>91</v>
      </c>
      <c r="BD72">
        <v>92</v>
      </c>
      <c r="BE72">
        <v>92</v>
      </c>
      <c r="BF72">
        <v>93</v>
      </c>
      <c r="BG72">
        <v>87</v>
      </c>
      <c r="BH72">
        <v>89</v>
      </c>
      <c r="BI72">
        <v>90</v>
      </c>
      <c r="BL72">
        <v>83</v>
      </c>
      <c r="BQ72">
        <v>92</v>
      </c>
      <c r="BS72">
        <v>0.28000000000000003</v>
      </c>
      <c r="BX72">
        <v>0.65</v>
      </c>
      <c r="CB72">
        <v>39</v>
      </c>
      <c r="CC72">
        <v>48</v>
      </c>
      <c r="CD72">
        <v>78</v>
      </c>
      <c r="CE72" s="139">
        <v>85</v>
      </c>
      <c r="CF72" s="4">
        <v>19.644599999999997</v>
      </c>
      <c r="CH72" s="107">
        <v>35.071400000000004</v>
      </c>
      <c r="CI72" s="107">
        <v>2.9388000000000001</v>
      </c>
      <c r="CJ72" s="107">
        <v>0.9416000000000001</v>
      </c>
      <c r="CK72" s="107">
        <v>1.3288</v>
      </c>
      <c r="CL72" s="107">
        <v>2.9057999999999997</v>
      </c>
      <c r="CM72" s="107">
        <v>2.2000000000000002</v>
      </c>
      <c r="CN72" s="107">
        <v>0.50159999999999993</v>
      </c>
      <c r="CO72" s="107">
        <v>0.95909999999999995</v>
      </c>
      <c r="CP72" s="107">
        <v>2.0024999999999999</v>
      </c>
      <c r="CQ72" s="107">
        <v>3.3312999999999997</v>
      </c>
      <c r="CR72" s="107">
        <v>1.2246000000000001</v>
      </c>
      <c r="CS72" s="107">
        <v>0.40799999999999997</v>
      </c>
      <c r="CT72" s="107">
        <v>1.4783999999999999</v>
      </c>
      <c r="CU72" s="107"/>
      <c r="CV72" s="107">
        <v>39.348399999999998</v>
      </c>
      <c r="CW72" s="107">
        <f t="shared" si="56"/>
        <v>3.0652000000000004</v>
      </c>
      <c r="CX72" s="107">
        <f t="shared" si="57"/>
        <v>0.98440000000000016</v>
      </c>
      <c r="CY72" s="107">
        <f t="shared" si="58"/>
        <v>1.3891999999999998</v>
      </c>
      <c r="CZ72" s="107">
        <f t="shared" si="59"/>
        <v>3.0394000000000001</v>
      </c>
      <c r="DA72" s="107">
        <f t="shared" si="60"/>
        <v>2.2999999999999998</v>
      </c>
      <c r="DB72" s="107">
        <f t="shared" si="61"/>
        <v>0.52439999999999998</v>
      </c>
      <c r="DC72" s="107">
        <f t="shared" si="41"/>
        <v>1.0306999999999999</v>
      </c>
      <c r="DD72" s="107">
        <f t="shared" si="19"/>
        <v>2.0924999999999998</v>
      </c>
      <c r="DE72" s="107">
        <f t="shared" ref="DE72:DE135" si="64">DD72+BQ72*AW72/100</f>
        <v>3.4816999999999996</v>
      </c>
      <c r="DF72" s="107">
        <f t="shared" si="20"/>
        <v>1.3659000000000001</v>
      </c>
      <c r="DG72" s="107">
        <f t="shared" si="21"/>
        <v>0.42719999999999997</v>
      </c>
      <c r="DH72" s="107">
        <f t="shared" si="22"/>
        <v>1.5840000000000001</v>
      </c>
      <c r="DI72" s="107"/>
      <c r="DJ72" s="107"/>
      <c r="DK72" s="107"/>
      <c r="DL72" s="107"/>
      <c r="DM72" s="107"/>
      <c r="DN72" s="107"/>
      <c r="DO72" s="107"/>
      <c r="DP72" s="107"/>
      <c r="DQ72">
        <f t="shared" si="26"/>
        <v>0.2535</v>
      </c>
      <c r="DR72">
        <f t="shared" si="27"/>
        <v>0.31200000000000006</v>
      </c>
      <c r="DS72">
        <f t="shared" si="42"/>
        <v>0.21840000000000004</v>
      </c>
      <c r="DT72">
        <f t="shared" si="43"/>
        <v>0.23800000000000002</v>
      </c>
      <c r="DU72"/>
      <c r="DV72" s="32"/>
      <c r="DW72" s="54">
        <f t="shared" si="45"/>
        <v>0</v>
      </c>
      <c r="DX72" s="33"/>
      <c r="DY72" s="34"/>
      <c r="DZ72" s="34"/>
      <c r="EA72" s="149"/>
      <c r="EB72" s="36">
        <f t="shared" si="62"/>
        <v>0</v>
      </c>
      <c r="EC72" s="37"/>
      <c r="ED72" s="80"/>
      <c r="EE72" s="81"/>
      <c r="EF72" s="81"/>
      <c r="EG72" s="390">
        <f>BX73*0.662</f>
        <v>0.3972</v>
      </c>
      <c r="EH72" s="37"/>
      <c r="EI72" s="38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>
        <v>55.05</v>
      </c>
      <c r="FJ72" s="37">
        <v>7.34</v>
      </c>
      <c r="FK72" s="47">
        <f>SUM(FI72:FJ72)/100*K72</f>
        <v>9.7266010000000005</v>
      </c>
      <c r="FL72" s="37"/>
      <c r="FM72" s="48">
        <f t="shared" si="30"/>
        <v>0.52115549121537141</v>
      </c>
      <c r="FN72" s="48">
        <f t="shared" si="31"/>
        <v>0.45706389418964261</v>
      </c>
      <c r="FO72" s="142">
        <f t="shared" si="32"/>
        <v>1.1402245896919092</v>
      </c>
      <c r="FP72" s="142">
        <f t="shared" si="33"/>
        <v>0.14055405672172139</v>
      </c>
      <c r="FQ72" s="180">
        <f t="shared" si="34"/>
        <v>7.1063829787234037E-2</v>
      </c>
    </row>
    <row r="73" spans="1:173" ht="12.75" customHeight="1" x14ac:dyDescent="0.15">
      <c r="A73" s="134">
        <v>64</v>
      </c>
      <c r="B73" t="s">
        <v>276</v>
      </c>
      <c r="C73">
        <v>5282</v>
      </c>
      <c r="H73">
        <v>94.4</v>
      </c>
      <c r="I73">
        <v>39.299999999999997</v>
      </c>
      <c r="K73">
        <v>17.7</v>
      </c>
      <c r="M73">
        <v>4.8</v>
      </c>
      <c r="O73">
        <v>5.8</v>
      </c>
      <c r="P73">
        <v>0.1</v>
      </c>
      <c r="Q73">
        <v>1.4</v>
      </c>
      <c r="T73">
        <v>1.89</v>
      </c>
      <c r="U73">
        <v>10.3</v>
      </c>
      <c r="V73">
        <v>7.5</v>
      </c>
      <c r="AB73">
        <v>24.910000000000007</v>
      </c>
      <c r="AC73">
        <v>87</v>
      </c>
      <c r="AD73" s="136">
        <v>48.713100000000004</v>
      </c>
      <c r="AF73">
        <v>2.79</v>
      </c>
      <c r="AG73">
        <v>1.02</v>
      </c>
      <c r="AH73">
        <v>1.88</v>
      </c>
      <c r="AI73">
        <v>3.01</v>
      </c>
      <c r="AJ73">
        <v>2.56</v>
      </c>
      <c r="AK73">
        <v>0.56000000000000005</v>
      </c>
      <c r="AL73">
        <v>1.96</v>
      </c>
      <c r="AM73">
        <v>1.44</v>
      </c>
      <c r="AN73">
        <v>0.61</v>
      </c>
      <c r="AO73">
        <v>1.96</v>
      </c>
      <c r="AR73">
        <v>0.65</v>
      </c>
      <c r="AW73">
        <v>1.4</v>
      </c>
      <c r="AY73">
        <v>89</v>
      </c>
      <c r="AZ73">
        <v>96</v>
      </c>
      <c r="BA73">
        <v>92</v>
      </c>
      <c r="BB73">
        <v>91</v>
      </c>
      <c r="BC73">
        <v>91</v>
      </c>
      <c r="BD73">
        <v>93</v>
      </c>
      <c r="BE73">
        <v>92</v>
      </c>
      <c r="BF73">
        <v>92</v>
      </c>
      <c r="BG73">
        <v>88</v>
      </c>
      <c r="BH73">
        <v>87</v>
      </c>
      <c r="BI73">
        <v>90</v>
      </c>
      <c r="BL73">
        <v>85</v>
      </c>
      <c r="BQ73">
        <v>91</v>
      </c>
      <c r="BS73">
        <v>0.36</v>
      </c>
      <c r="BX73">
        <v>0.6</v>
      </c>
      <c r="CB73">
        <v>39</v>
      </c>
      <c r="CC73">
        <v>48</v>
      </c>
      <c r="CD73">
        <v>78</v>
      </c>
      <c r="CE73" s="139">
        <v>85</v>
      </c>
      <c r="CF73" s="4">
        <v>21.671700000000005</v>
      </c>
      <c r="CH73" s="107">
        <v>32.225999999999999</v>
      </c>
      <c r="CI73" s="107">
        <v>2.5947000000000005</v>
      </c>
      <c r="CJ73" s="107">
        <v>0.91799999999999993</v>
      </c>
      <c r="CK73" s="107">
        <v>1.6543999999999999</v>
      </c>
      <c r="CL73" s="107">
        <v>2.6488</v>
      </c>
      <c r="CM73" s="107">
        <v>2.3040000000000003</v>
      </c>
      <c r="CN73" s="107">
        <v>0.504</v>
      </c>
      <c r="CO73" s="107">
        <v>1.0305</v>
      </c>
      <c r="CP73" s="107">
        <v>1.7444</v>
      </c>
      <c r="CQ73" s="107">
        <v>2.9763999999999999</v>
      </c>
      <c r="CR73" s="107">
        <v>1.1952</v>
      </c>
      <c r="CS73" s="107">
        <v>0.51239999999999997</v>
      </c>
      <c r="CT73" s="107">
        <v>1.6659999999999999</v>
      </c>
      <c r="CU73" s="107"/>
      <c r="CV73" s="107">
        <v>34.976999999999997</v>
      </c>
      <c r="CW73" s="107">
        <f t="shared" si="56"/>
        <v>2.6784000000000003</v>
      </c>
      <c r="CX73" s="107">
        <f t="shared" si="57"/>
        <v>0.93840000000000001</v>
      </c>
      <c r="CY73" s="107">
        <f t="shared" si="58"/>
        <v>1.7107999999999999</v>
      </c>
      <c r="CZ73" s="107">
        <f t="shared" si="59"/>
        <v>2.7390999999999996</v>
      </c>
      <c r="DA73" s="107">
        <f t="shared" si="60"/>
        <v>2.3808000000000002</v>
      </c>
      <c r="DB73" s="107">
        <f t="shared" si="61"/>
        <v>0.51519999999999999</v>
      </c>
      <c r="DC73" s="107">
        <f t="shared" si="41"/>
        <v>1.0677000000000001</v>
      </c>
      <c r="DD73" s="107">
        <f t="shared" ref="DD73:DD136" si="65">AL73*BF73/100</f>
        <v>1.8031999999999999</v>
      </c>
      <c r="DE73" s="107">
        <f t="shared" si="64"/>
        <v>3.0771999999999999</v>
      </c>
      <c r="DF73" s="107">
        <f t="shared" ref="DF73:DF136" si="66">AM73*BG73/100</f>
        <v>1.2671999999999999</v>
      </c>
      <c r="DG73" s="107">
        <f t="shared" ref="DG73:DG136" si="67">AN73*BH73/100</f>
        <v>0.53069999999999995</v>
      </c>
      <c r="DH73" s="107">
        <f t="shared" ref="DH73:DH136" si="68">AO73*BI73/100</f>
        <v>1.764</v>
      </c>
      <c r="DI73" s="107"/>
      <c r="DJ73" s="107"/>
      <c r="DK73" s="107"/>
      <c r="DL73" s="107"/>
      <c r="DM73" s="107"/>
      <c r="DN73" s="107"/>
      <c r="DO73" s="107"/>
      <c r="DP73" s="107"/>
      <c r="DQ73">
        <f t="shared" si="26"/>
        <v>0.23399999999999999</v>
      </c>
      <c r="DR73">
        <f t="shared" si="27"/>
        <v>0.28799999999999998</v>
      </c>
      <c r="DS73">
        <f t="shared" si="42"/>
        <v>0.28079999999999999</v>
      </c>
      <c r="DT73">
        <f t="shared" si="43"/>
        <v>0.30599999999999999</v>
      </c>
      <c r="DU73"/>
      <c r="DV73" s="32"/>
      <c r="DW73" s="54">
        <f t="shared" si="45"/>
        <v>0</v>
      </c>
      <c r="DX73" s="33"/>
      <c r="DY73" s="34"/>
      <c r="DZ73" s="34"/>
      <c r="EA73" s="149"/>
      <c r="EB73" s="36">
        <f t="shared" si="62"/>
        <v>0</v>
      </c>
      <c r="EC73" s="37"/>
      <c r="ED73" s="80"/>
      <c r="EE73" s="81"/>
      <c r="EF73" s="81"/>
      <c r="EG73" s="390">
        <f>BX74*0.662</f>
        <v>0.41706000000000004</v>
      </c>
      <c r="EH73" s="37"/>
      <c r="EI73" s="38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47"/>
      <c r="FL73" s="37"/>
      <c r="FM73" s="48">
        <f t="shared" si="30"/>
        <v>0.64400715563506272</v>
      </c>
      <c r="FN73" s="48">
        <f t="shared" si="31"/>
        <v>0.62458471760797341</v>
      </c>
      <c r="FO73" s="142">
        <f t="shared" si="32"/>
        <v>1.0310965630114568</v>
      </c>
      <c r="FP73" s="142">
        <f t="shared" si="33"/>
        <v>0.19374977182286154</v>
      </c>
      <c r="FQ73" s="180">
        <f t="shared" si="34"/>
        <v>6.9697201017811697E-2</v>
      </c>
    </row>
    <row r="74" spans="1:173" ht="12.75" customHeight="1" x14ac:dyDescent="0.15">
      <c r="A74" s="134">
        <v>65</v>
      </c>
      <c r="B74" t="s">
        <v>277</v>
      </c>
      <c r="C74">
        <v>4784</v>
      </c>
      <c r="D74">
        <v>3717</v>
      </c>
      <c r="E74">
        <v>3336</v>
      </c>
      <c r="F74">
        <v>2129</v>
      </c>
      <c r="H74">
        <v>94.5</v>
      </c>
      <c r="I74">
        <v>55.97</v>
      </c>
      <c r="K74">
        <v>5.13</v>
      </c>
      <c r="M74">
        <v>5.7</v>
      </c>
      <c r="O74">
        <v>4.91</v>
      </c>
      <c r="P74">
        <v>0.67</v>
      </c>
      <c r="Q74">
        <v>4.58</v>
      </c>
      <c r="T74">
        <v>1.89</v>
      </c>
      <c r="U74">
        <v>9.99</v>
      </c>
      <c r="V74">
        <v>6.3</v>
      </c>
      <c r="AB74">
        <v>20.9</v>
      </c>
      <c r="AC74">
        <v>88</v>
      </c>
      <c r="AD74" s="136">
        <v>45.7042</v>
      </c>
      <c r="AF74">
        <v>4.13</v>
      </c>
      <c r="AG74">
        <v>1.39</v>
      </c>
      <c r="AH74">
        <v>2.42</v>
      </c>
      <c r="AI74">
        <v>4.09</v>
      </c>
      <c r="AJ74">
        <v>3.33</v>
      </c>
      <c r="AK74">
        <v>0.72</v>
      </c>
      <c r="AL74">
        <v>2.71</v>
      </c>
      <c r="AM74">
        <v>1.96</v>
      </c>
      <c r="AN74">
        <v>0.71</v>
      </c>
      <c r="AO74">
        <v>2.59</v>
      </c>
      <c r="AR74">
        <v>0.8</v>
      </c>
      <c r="AW74">
        <v>1.88</v>
      </c>
      <c r="AY74">
        <v>91</v>
      </c>
      <c r="AZ74">
        <v>97</v>
      </c>
      <c r="BA74">
        <v>93</v>
      </c>
      <c r="BB74">
        <v>92</v>
      </c>
      <c r="BC74">
        <v>92</v>
      </c>
      <c r="BD74">
        <v>93</v>
      </c>
      <c r="BE74">
        <v>92</v>
      </c>
      <c r="BF74">
        <v>93</v>
      </c>
      <c r="BG74">
        <v>89</v>
      </c>
      <c r="BH74">
        <v>92</v>
      </c>
      <c r="BI74">
        <v>91</v>
      </c>
      <c r="BL74">
        <v>84</v>
      </c>
      <c r="BQ74">
        <v>91</v>
      </c>
      <c r="BS74">
        <v>0.28999999999999998</v>
      </c>
      <c r="BX74">
        <v>0.63</v>
      </c>
      <c r="CB74">
        <v>39</v>
      </c>
      <c r="CC74">
        <v>48</v>
      </c>
      <c r="CD74">
        <v>78</v>
      </c>
      <c r="CE74" s="139">
        <v>85</v>
      </c>
      <c r="CF74" s="4">
        <v>18.391999999999999</v>
      </c>
      <c r="CH74" s="107">
        <v>46.455100000000002</v>
      </c>
      <c r="CI74" s="107">
        <v>3.8408999999999995</v>
      </c>
      <c r="CJ74" s="107">
        <v>1.2370999999999999</v>
      </c>
      <c r="CK74" s="107">
        <v>2.1537999999999999</v>
      </c>
      <c r="CL74" s="107">
        <v>3.6400999999999999</v>
      </c>
      <c r="CM74" s="107">
        <v>2.9637000000000002</v>
      </c>
      <c r="CN74" s="107">
        <v>0.64080000000000004</v>
      </c>
      <c r="CO74" s="107">
        <v>1.2568000000000001</v>
      </c>
      <c r="CP74" s="107">
        <v>2.4390000000000001</v>
      </c>
      <c r="CQ74" s="107">
        <v>4.0746000000000002</v>
      </c>
      <c r="CR74" s="107">
        <v>1.5875999999999999</v>
      </c>
      <c r="CS74" s="107">
        <v>0.61769999999999992</v>
      </c>
      <c r="CT74" s="107">
        <v>2.2273999999999998</v>
      </c>
      <c r="CU74" s="107"/>
      <c r="CV74" s="107">
        <v>50.932699999999997</v>
      </c>
      <c r="CW74" s="107">
        <f t="shared" si="56"/>
        <v>4.0061</v>
      </c>
      <c r="CX74" s="107">
        <f t="shared" si="57"/>
        <v>1.2926999999999997</v>
      </c>
      <c r="CY74" s="107">
        <f t="shared" si="58"/>
        <v>2.2263999999999999</v>
      </c>
      <c r="CZ74" s="107">
        <f t="shared" si="59"/>
        <v>3.7627999999999999</v>
      </c>
      <c r="DA74" s="107">
        <f t="shared" si="60"/>
        <v>3.0968999999999998</v>
      </c>
      <c r="DB74" s="107">
        <f t="shared" si="61"/>
        <v>0.66239999999999999</v>
      </c>
      <c r="DC74" s="107">
        <f t="shared" si="41"/>
        <v>1.3344</v>
      </c>
      <c r="DD74" s="107">
        <f t="shared" si="65"/>
        <v>2.5203000000000002</v>
      </c>
      <c r="DE74" s="107">
        <f t="shared" si="64"/>
        <v>4.2310999999999996</v>
      </c>
      <c r="DF74" s="107">
        <f t="shared" si="66"/>
        <v>1.7444</v>
      </c>
      <c r="DG74" s="107">
        <f t="shared" si="67"/>
        <v>0.65319999999999989</v>
      </c>
      <c r="DH74" s="107">
        <f t="shared" si="68"/>
        <v>2.3569</v>
      </c>
      <c r="DI74" s="107"/>
      <c r="DJ74" s="107"/>
      <c r="DK74" s="107"/>
      <c r="DL74" s="107"/>
      <c r="DM74" s="107"/>
      <c r="DN74" s="107"/>
      <c r="DO74" s="107"/>
      <c r="DP74" s="107"/>
      <c r="DQ74">
        <f t="shared" ref="DQ74:DQ129" si="69">CB74*BX74/100</f>
        <v>0.2457</v>
      </c>
      <c r="DR74">
        <f t="shared" ref="DR74:DR89" si="70">CC74*BX74/100</f>
        <v>0.3024</v>
      </c>
      <c r="DS74">
        <f t="shared" si="42"/>
        <v>0.22619999999999998</v>
      </c>
      <c r="DT74">
        <f t="shared" si="43"/>
        <v>0.2465</v>
      </c>
      <c r="DU74"/>
      <c r="DV74" s="32"/>
      <c r="DW74" s="54">
        <f t="shared" si="45"/>
        <v>0</v>
      </c>
      <c r="DX74" s="33"/>
      <c r="DY74" s="34"/>
      <c r="DZ74" s="34"/>
      <c r="EA74" s="149"/>
      <c r="EB74" s="36">
        <f t="shared" ref="EB74:EB105" si="71">BX74*EA74</f>
        <v>0</v>
      </c>
      <c r="EC74" s="37"/>
      <c r="ED74" s="80"/>
      <c r="EE74" s="81"/>
      <c r="EF74" s="81"/>
      <c r="EG74" s="390">
        <f>BX75*0.662</f>
        <v>0.41706000000000004</v>
      </c>
      <c r="EH74" s="37"/>
      <c r="EI74" s="38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>
        <v>55.05</v>
      </c>
      <c r="FJ74" s="37">
        <v>7.34</v>
      </c>
      <c r="FK74" s="47">
        <f t="shared" ref="FK74:FK85" si="72">SUM(FI74:FJ74)/100*K74</f>
        <v>3.2006070000000002</v>
      </c>
      <c r="FL74" s="37"/>
      <c r="FM74" s="48">
        <f t="shared" ref="FM74:FM137" si="73">DH74/CZ74</f>
        <v>0.62636866163495275</v>
      </c>
      <c r="FN74" s="48">
        <f t="shared" ref="FN74:FN137" si="74">CY74/CZ74</f>
        <v>0.59168704156479213</v>
      </c>
      <c r="FO74" s="142">
        <f t="shared" ref="FO74:FO137" si="75">DH74/CY74</f>
        <v>1.0586148041681638</v>
      </c>
      <c r="FP74" s="142">
        <f t="shared" ref="FP74:FP137" si="76">DG74/CZ74</f>
        <v>0.17359413202933982</v>
      </c>
      <c r="FQ74" s="180">
        <f t="shared" ref="FQ74:FQ137" si="77">CZ74/I74</f>
        <v>6.7228872610326965E-2</v>
      </c>
    </row>
    <row r="75" spans="1:173" ht="12.75" customHeight="1" x14ac:dyDescent="0.15">
      <c r="A75" s="134">
        <v>66</v>
      </c>
      <c r="B75" t="s">
        <v>278</v>
      </c>
      <c r="C75">
        <v>4737</v>
      </c>
      <c r="D75">
        <v>3679</v>
      </c>
      <c r="E75">
        <v>3344</v>
      </c>
      <c r="F75">
        <v>2151</v>
      </c>
      <c r="H75">
        <v>94.6</v>
      </c>
      <c r="I75">
        <v>49.33</v>
      </c>
      <c r="K75">
        <v>4.62</v>
      </c>
      <c r="M75">
        <v>5.7</v>
      </c>
      <c r="O75">
        <v>7.1</v>
      </c>
      <c r="P75">
        <v>0.18</v>
      </c>
      <c r="Q75">
        <v>1.55</v>
      </c>
      <c r="T75">
        <v>1.89</v>
      </c>
      <c r="U75">
        <v>9.98</v>
      </c>
      <c r="V75">
        <v>6.81</v>
      </c>
      <c r="AB75">
        <v>25.959999999999994</v>
      </c>
      <c r="AC75">
        <v>88</v>
      </c>
      <c r="AD75" s="136">
        <v>45.099800000000002</v>
      </c>
      <c r="AF75">
        <v>3.77</v>
      </c>
      <c r="AG75">
        <v>1.29</v>
      </c>
      <c r="AH75">
        <v>2.2400000000000002</v>
      </c>
      <c r="AI75">
        <v>3.75</v>
      </c>
      <c r="AJ75">
        <v>3.12</v>
      </c>
      <c r="AK75">
        <v>0.68</v>
      </c>
      <c r="AL75">
        <v>2.4700000000000002</v>
      </c>
      <c r="AM75">
        <v>1.81</v>
      </c>
      <c r="AN75">
        <v>0.66</v>
      </c>
      <c r="AO75">
        <v>2.4300000000000002</v>
      </c>
      <c r="AR75">
        <v>0.78</v>
      </c>
      <c r="AW75">
        <v>1.71</v>
      </c>
      <c r="AY75">
        <v>92</v>
      </c>
      <c r="AZ75">
        <v>98</v>
      </c>
      <c r="BA75">
        <v>93</v>
      </c>
      <c r="BB75">
        <v>93</v>
      </c>
      <c r="BC75">
        <v>93</v>
      </c>
      <c r="BD75">
        <v>93</v>
      </c>
      <c r="BE75">
        <v>92</v>
      </c>
      <c r="BF75">
        <v>93</v>
      </c>
      <c r="BG75">
        <v>88</v>
      </c>
      <c r="BH75">
        <v>93</v>
      </c>
      <c r="BI75">
        <v>91</v>
      </c>
      <c r="BL75">
        <v>85</v>
      </c>
      <c r="BQ75">
        <v>91</v>
      </c>
      <c r="BS75">
        <v>0.28999999999999998</v>
      </c>
      <c r="BX75">
        <v>0.63</v>
      </c>
      <c r="CB75">
        <v>39</v>
      </c>
      <c r="CC75">
        <v>48</v>
      </c>
      <c r="CD75">
        <v>78</v>
      </c>
      <c r="CE75" s="139">
        <v>85</v>
      </c>
      <c r="CF75" s="4">
        <v>22.844799999999996</v>
      </c>
      <c r="CH75" s="107">
        <v>41.437200000000004</v>
      </c>
      <c r="CI75" s="107">
        <v>3.5438000000000001</v>
      </c>
      <c r="CJ75" s="107">
        <v>1.161</v>
      </c>
      <c r="CK75" s="107">
        <v>1.9936</v>
      </c>
      <c r="CL75" s="107">
        <v>3.3374999999999999</v>
      </c>
      <c r="CM75" s="107">
        <v>2.7768000000000002</v>
      </c>
      <c r="CN75" s="107">
        <v>0.60520000000000007</v>
      </c>
      <c r="CO75" s="107">
        <v>1.2214</v>
      </c>
      <c r="CP75" s="107">
        <v>2.2230000000000003</v>
      </c>
      <c r="CQ75" s="107">
        <v>3.7107000000000001</v>
      </c>
      <c r="CR75" s="107">
        <v>1.4661000000000002</v>
      </c>
      <c r="CS75" s="107">
        <v>0.58080000000000009</v>
      </c>
      <c r="CT75" s="107">
        <v>2.0898000000000003</v>
      </c>
      <c r="CU75" s="107"/>
      <c r="CV75" s="107">
        <v>45.383599999999994</v>
      </c>
      <c r="CW75" s="107">
        <f t="shared" si="56"/>
        <v>3.6945999999999999</v>
      </c>
      <c r="CX75" s="107">
        <f t="shared" si="57"/>
        <v>1.1997</v>
      </c>
      <c r="CY75" s="107">
        <f t="shared" si="58"/>
        <v>2.0832000000000002</v>
      </c>
      <c r="CZ75" s="107">
        <f t="shared" si="59"/>
        <v>3.4874999999999998</v>
      </c>
      <c r="DA75" s="107">
        <f t="shared" si="60"/>
        <v>2.9016000000000002</v>
      </c>
      <c r="DB75" s="107">
        <f t="shared" si="61"/>
        <v>0.62560000000000004</v>
      </c>
      <c r="DC75" s="107">
        <f t="shared" ref="DC75:DC138" si="78">(AK75*BE75+BL75*AR75)/100</f>
        <v>1.2886000000000002</v>
      </c>
      <c r="DD75" s="107">
        <f t="shared" si="65"/>
        <v>2.2970999999999999</v>
      </c>
      <c r="DE75" s="107">
        <f t="shared" si="64"/>
        <v>3.8531999999999997</v>
      </c>
      <c r="DF75" s="107">
        <f t="shared" si="66"/>
        <v>1.5928</v>
      </c>
      <c r="DG75" s="107">
        <f t="shared" si="67"/>
        <v>0.61380000000000001</v>
      </c>
      <c r="DH75" s="107">
        <f t="shared" si="68"/>
        <v>2.2113</v>
      </c>
      <c r="DI75" s="107"/>
      <c r="DJ75" s="107"/>
      <c r="DK75" s="107"/>
      <c r="DL75" s="107"/>
      <c r="DM75" s="107"/>
      <c r="DN75" s="107"/>
      <c r="DO75" s="107"/>
      <c r="DP75" s="107"/>
      <c r="DQ75">
        <f t="shared" si="69"/>
        <v>0.2457</v>
      </c>
      <c r="DR75">
        <f t="shared" si="70"/>
        <v>0.3024</v>
      </c>
      <c r="DS75">
        <f t="shared" ref="DS75:DS138" si="79">BS75*CD75/100</f>
        <v>0.22619999999999998</v>
      </c>
      <c r="DT75">
        <f t="shared" ref="DT75:DT138" si="80">BS75*CE75/100</f>
        <v>0.2465</v>
      </c>
      <c r="DU75"/>
      <c r="DV75" s="32"/>
      <c r="DW75" s="54">
        <f t="shared" si="45"/>
        <v>0</v>
      </c>
      <c r="DX75" s="33"/>
      <c r="DY75" s="34"/>
      <c r="DZ75" s="34"/>
      <c r="EA75" s="149"/>
      <c r="EB75" s="36">
        <f t="shared" si="71"/>
        <v>0</v>
      </c>
      <c r="EC75" s="37"/>
      <c r="ED75" s="80"/>
      <c r="EE75" s="81"/>
      <c r="EF75" s="81"/>
      <c r="EG75" s="390">
        <f>BX76*0.662</f>
        <v>0.43692000000000003</v>
      </c>
      <c r="EH75" s="37"/>
      <c r="EI75" s="38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>
        <v>55.05</v>
      </c>
      <c r="FJ75" s="37">
        <v>7.34</v>
      </c>
      <c r="FK75" s="47">
        <f t="shared" si="72"/>
        <v>2.8824179999999999</v>
      </c>
      <c r="FL75" s="37"/>
      <c r="FM75" s="48">
        <f t="shared" si="73"/>
        <v>0.63406451612903225</v>
      </c>
      <c r="FN75" s="48">
        <f t="shared" si="74"/>
        <v>0.59733333333333338</v>
      </c>
      <c r="FO75" s="142">
        <f t="shared" si="75"/>
        <v>1.061491935483871</v>
      </c>
      <c r="FP75" s="142">
        <f t="shared" si="76"/>
        <v>0.17600000000000002</v>
      </c>
      <c r="FQ75" s="180">
        <f t="shared" si="77"/>
        <v>7.0697344415163191E-2</v>
      </c>
    </row>
    <row r="76" spans="1:173" ht="12.75" customHeight="1" x14ac:dyDescent="0.15">
      <c r="A76" s="134">
        <v>67</v>
      </c>
      <c r="B76" t="s">
        <v>279</v>
      </c>
      <c r="C76">
        <v>4692</v>
      </c>
      <c r="D76">
        <v>3876</v>
      </c>
      <c r="E76">
        <v>3573</v>
      </c>
      <c r="F76">
        <v>2344</v>
      </c>
      <c r="H76">
        <v>93.85</v>
      </c>
      <c r="I76">
        <v>44.56</v>
      </c>
      <c r="J76">
        <v>5.6</v>
      </c>
      <c r="K76">
        <v>5.69</v>
      </c>
      <c r="L76">
        <v>9.8699999999999992</v>
      </c>
      <c r="M76">
        <v>5.7</v>
      </c>
      <c r="O76">
        <v>7.1</v>
      </c>
      <c r="P76">
        <v>0.77</v>
      </c>
      <c r="Q76">
        <v>4.88</v>
      </c>
      <c r="T76">
        <v>1.89</v>
      </c>
      <c r="U76">
        <v>13.84</v>
      </c>
      <c r="V76">
        <v>7.35</v>
      </c>
      <c r="AB76">
        <v>28.909999999999989</v>
      </c>
      <c r="AC76">
        <v>88</v>
      </c>
      <c r="AD76" s="136">
        <v>44.594799999999999</v>
      </c>
      <c r="AF76">
        <v>3.13</v>
      </c>
      <c r="AG76">
        <v>1.17</v>
      </c>
      <c r="AH76">
        <v>1.97</v>
      </c>
      <c r="AI76">
        <v>3.29</v>
      </c>
      <c r="AJ76">
        <v>2.85</v>
      </c>
      <c r="AK76">
        <v>0.56000000000000005</v>
      </c>
      <c r="AL76">
        <v>2.19</v>
      </c>
      <c r="AM76">
        <v>1.73</v>
      </c>
      <c r="AN76">
        <v>0.67</v>
      </c>
      <c r="AO76">
        <v>2.06</v>
      </c>
      <c r="AR76">
        <v>0.7</v>
      </c>
      <c r="AW76">
        <v>1.5</v>
      </c>
      <c r="AY76">
        <v>89</v>
      </c>
      <c r="AZ76">
        <v>96</v>
      </c>
      <c r="BA76">
        <v>91</v>
      </c>
      <c r="BB76">
        <v>91</v>
      </c>
      <c r="BC76">
        <v>89</v>
      </c>
      <c r="BD76">
        <v>90</v>
      </c>
      <c r="BE76">
        <v>91</v>
      </c>
      <c r="BF76">
        <v>90</v>
      </c>
      <c r="BG76">
        <v>85</v>
      </c>
      <c r="BH76">
        <v>89</v>
      </c>
      <c r="BI76">
        <v>88</v>
      </c>
      <c r="BL76">
        <v>83</v>
      </c>
      <c r="BQ76">
        <v>89</v>
      </c>
      <c r="BS76">
        <v>0.28000000000000003</v>
      </c>
      <c r="BX76">
        <v>0.66</v>
      </c>
      <c r="CB76">
        <v>39</v>
      </c>
      <c r="CC76">
        <v>48</v>
      </c>
      <c r="CD76">
        <v>78</v>
      </c>
      <c r="CE76" s="139">
        <v>85</v>
      </c>
      <c r="CF76" s="4">
        <v>25.440799999999989</v>
      </c>
      <c r="CH76" s="107">
        <v>37.430399999999999</v>
      </c>
      <c r="CI76" s="107">
        <v>2.9108999999999998</v>
      </c>
      <c r="CJ76" s="107">
        <v>1.0295999999999998</v>
      </c>
      <c r="CK76" s="107">
        <v>1.7335999999999998</v>
      </c>
      <c r="CL76" s="107">
        <v>2.8952</v>
      </c>
      <c r="CM76" s="107">
        <v>2.5365000000000002</v>
      </c>
      <c r="CN76" s="107">
        <v>0.49280000000000002</v>
      </c>
      <c r="CO76" s="107">
        <v>1.0387999999999999</v>
      </c>
      <c r="CP76" s="107">
        <v>1.9491000000000001</v>
      </c>
      <c r="CQ76" s="107">
        <v>3.2541000000000002</v>
      </c>
      <c r="CR76" s="107">
        <v>1.3666999999999998</v>
      </c>
      <c r="CS76" s="107">
        <v>0.58960000000000001</v>
      </c>
      <c r="CT76" s="107">
        <v>1.7716000000000001</v>
      </c>
      <c r="CU76" s="107"/>
      <c r="CV76" s="107">
        <v>39.6584</v>
      </c>
      <c r="CW76" s="107">
        <f t="shared" si="56"/>
        <v>3.0048000000000004</v>
      </c>
      <c r="CX76" s="107">
        <f t="shared" si="57"/>
        <v>1.0647</v>
      </c>
      <c r="CY76" s="107">
        <f t="shared" si="58"/>
        <v>1.7927000000000002</v>
      </c>
      <c r="CZ76" s="107">
        <f t="shared" si="59"/>
        <v>2.9281000000000001</v>
      </c>
      <c r="DA76" s="107">
        <f t="shared" si="60"/>
        <v>2.5649999999999999</v>
      </c>
      <c r="DB76" s="107">
        <f t="shared" si="61"/>
        <v>0.50960000000000005</v>
      </c>
      <c r="DC76" s="107">
        <f t="shared" si="78"/>
        <v>1.0906</v>
      </c>
      <c r="DD76" s="107">
        <f t="shared" si="65"/>
        <v>1.9709999999999999</v>
      </c>
      <c r="DE76" s="107">
        <f t="shared" si="64"/>
        <v>3.306</v>
      </c>
      <c r="DF76" s="107">
        <f t="shared" si="66"/>
        <v>1.4705000000000001</v>
      </c>
      <c r="DG76" s="107">
        <f t="shared" si="67"/>
        <v>0.59630000000000005</v>
      </c>
      <c r="DH76" s="107">
        <f t="shared" si="68"/>
        <v>1.8128</v>
      </c>
      <c r="DI76" s="107"/>
      <c r="DJ76" s="107"/>
      <c r="DK76" s="107"/>
      <c r="DL76" s="107"/>
      <c r="DM76" s="107"/>
      <c r="DN76" s="107"/>
      <c r="DO76" s="107"/>
      <c r="DP76" s="107"/>
      <c r="DQ76">
        <f t="shared" si="69"/>
        <v>0.25740000000000002</v>
      </c>
      <c r="DR76">
        <f t="shared" si="70"/>
        <v>0.31679999999999997</v>
      </c>
      <c r="DS76">
        <f t="shared" si="79"/>
        <v>0.21840000000000004</v>
      </c>
      <c r="DT76">
        <f t="shared" si="80"/>
        <v>0.23800000000000002</v>
      </c>
      <c r="DU76"/>
      <c r="DV76" s="32"/>
      <c r="DW76" s="54">
        <f t="shared" ref="DW76:DW123" si="81">DX76*2000</f>
        <v>0</v>
      </c>
      <c r="DX76" s="33"/>
      <c r="DY76" s="34"/>
      <c r="DZ76" s="34"/>
      <c r="EA76" s="149"/>
      <c r="EB76" s="36">
        <f t="shared" si="71"/>
        <v>0</v>
      </c>
      <c r="EC76" s="37"/>
      <c r="ED76" s="80"/>
      <c r="EE76" s="81"/>
      <c r="EF76" s="81"/>
      <c r="EG76" s="390">
        <v>0.4</v>
      </c>
      <c r="EH76" s="37"/>
      <c r="EI76" s="38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>
        <v>55.05</v>
      </c>
      <c r="FJ76" s="37">
        <v>7.34</v>
      </c>
      <c r="FK76" s="47">
        <f t="shared" si="72"/>
        <v>3.5499910000000003</v>
      </c>
      <c r="FL76" s="37"/>
      <c r="FM76" s="48">
        <f t="shared" si="73"/>
        <v>0.61910453877941318</v>
      </c>
      <c r="FN76" s="48">
        <f t="shared" si="74"/>
        <v>0.6122400191250299</v>
      </c>
      <c r="FO76" s="142">
        <f t="shared" si="75"/>
        <v>1.0112121381156913</v>
      </c>
      <c r="FP76" s="142">
        <f t="shared" si="76"/>
        <v>0.20364741641337386</v>
      </c>
      <c r="FQ76" s="180">
        <f t="shared" si="77"/>
        <v>6.5711400359066433E-2</v>
      </c>
    </row>
    <row r="77" spans="1:173" ht="12.75" customHeight="1" x14ac:dyDescent="0.15">
      <c r="A77" s="134">
        <v>68</v>
      </c>
      <c r="B77" t="s">
        <v>280</v>
      </c>
      <c r="C77">
        <v>4710</v>
      </c>
      <c r="D77">
        <v>4210</v>
      </c>
      <c r="E77">
        <v>3903</v>
      </c>
      <c r="F77">
        <v>2598</v>
      </c>
      <c r="H77">
        <v>95.57</v>
      </c>
      <c r="I77">
        <v>45.13</v>
      </c>
      <c r="J77">
        <v>3.3</v>
      </c>
      <c r="K77">
        <v>6.64</v>
      </c>
      <c r="M77">
        <v>6.24</v>
      </c>
      <c r="T77">
        <v>1.89</v>
      </c>
      <c r="V77">
        <v>6.33</v>
      </c>
      <c r="AB77">
        <v>35.669999999999987</v>
      </c>
      <c r="AC77">
        <v>88</v>
      </c>
      <c r="AD77" s="136">
        <v>45.848399999999998</v>
      </c>
      <c r="AF77">
        <v>3.02</v>
      </c>
      <c r="AG77">
        <v>1.1399999999999999</v>
      </c>
      <c r="AH77">
        <v>1.9</v>
      </c>
      <c r="AI77">
        <v>3.21</v>
      </c>
      <c r="AJ77">
        <v>2.79</v>
      </c>
      <c r="AK77">
        <v>0.6</v>
      </c>
      <c r="AL77">
        <v>2.15</v>
      </c>
      <c r="AM77">
        <v>1.73</v>
      </c>
      <c r="AN77">
        <v>0.69</v>
      </c>
      <c r="AO77">
        <v>2.0099999999999998</v>
      </c>
      <c r="AR77">
        <v>0.72</v>
      </c>
      <c r="AW77">
        <v>1.47</v>
      </c>
      <c r="AY77">
        <v>89</v>
      </c>
      <c r="AZ77">
        <v>95</v>
      </c>
      <c r="BA77">
        <v>90</v>
      </c>
      <c r="BB77">
        <v>89</v>
      </c>
      <c r="BC77">
        <v>88</v>
      </c>
      <c r="BD77">
        <v>90</v>
      </c>
      <c r="BE77">
        <v>85</v>
      </c>
      <c r="BF77">
        <v>89</v>
      </c>
      <c r="BG77">
        <v>84</v>
      </c>
      <c r="BH77">
        <v>89</v>
      </c>
      <c r="BI77">
        <v>88</v>
      </c>
      <c r="BL77">
        <v>87</v>
      </c>
      <c r="BQ77">
        <v>87</v>
      </c>
      <c r="CB77">
        <v>39</v>
      </c>
      <c r="CC77">
        <v>48</v>
      </c>
      <c r="CD77">
        <v>78</v>
      </c>
      <c r="CE77" s="139">
        <v>85</v>
      </c>
      <c r="CF77" s="4">
        <v>31.389599999999991</v>
      </c>
      <c r="CH77" s="107">
        <v>36.555300000000003</v>
      </c>
      <c r="CI77" s="107">
        <v>2.718</v>
      </c>
      <c r="CJ77" s="107">
        <v>0.98039999999999994</v>
      </c>
      <c r="CK77" s="107">
        <v>1.615</v>
      </c>
      <c r="CL77" s="107">
        <v>2.7285000000000004</v>
      </c>
      <c r="CM77" s="107">
        <v>2.3994</v>
      </c>
      <c r="CN77" s="107">
        <v>0.48</v>
      </c>
      <c r="CO77" s="107">
        <v>1.0488</v>
      </c>
      <c r="CP77" s="107">
        <v>1.849</v>
      </c>
      <c r="CQ77" s="107">
        <v>3.0838000000000001</v>
      </c>
      <c r="CR77" s="107">
        <v>1.3148</v>
      </c>
      <c r="CS77" s="107">
        <v>0.60029999999999994</v>
      </c>
      <c r="CT77" s="107">
        <v>1.6682999999999999</v>
      </c>
      <c r="CU77" s="107"/>
      <c r="CV77" s="107">
        <v>40.165700000000001</v>
      </c>
      <c r="CW77" s="107">
        <f t="shared" si="56"/>
        <v>2.8689999999999998</v>
      </c>
      <c r="CX77" s="107">
        <f t="shared" si="57"/>
        <v>1.026</v>
      </c>
      <c r="CY77" s="107">
        <f t="shared" si="58"/>
        <v>1.6909999999999998</v>
      </c>
      <c r="CZ77" s="107">
        <f t="shared" si="59"/>
        <v>2.8248000000000002</v>
      </c>
      <c r="DA77" s="107">
        <f t="shared" si="60"/>
        <v>2.5110000000000001</v>
      </c>
      <c r="DB77" s="107">
        <f t="shared" si="61"/>
        <v>0.51</v>
      </c>
      <c r="DC77" s="107">
        <f t="shared" si="78"/>
        <v>1.1364000000000001</v>
      </c>
      <c r="DD77" s="107">
        <f t="shared" si="65"/>
        <v>1.9135</v>
      </c>
      <c r="DE77" s="107">
        <f t="shared" si="64"/>
        <v>3.1924000000000001</v>
      </c>
      <c r="DF77" s="107">
        <f t="shared" si="66"/>
        <v>1.4531999999999998</v>
      </c>
      <c r="DG77" s="107">
        <f t="shared" si="67"/>
        <v>0.61409999999999998</v>
      </c>
      <c r="DH77" s="107">
        <f t="shared" si="68"/>
        <v>1.7687999999999999</v>
      </c>
      <c r="DI77" s="107">
        <f t="shared" ref="DI77" si="82">AP77*BJ77/100</f>
        <v>0</v>
      </c>
      <c r="DJ77" s="107">
        <f t="shared" ref="DJ77" si="83">AQ77*BK77/100</f>
        <v>0</v>
      </c>
      <c r="DK77" s="107">
        <f t="shared" ref="DK77" si="84">AR77*BL77/100</f>
        <v>0.62639999999999996</v>
      </c>
      <c r="DL77" s="107">
        <f t="shared" ref="DL77" si="85">AS77*BM77/100</f>
        <v>0</v>
      </c>
      <c r="DM77" s="107">
        <f t="shared" ref="DM77" si="86">AT77*BN77/100</f>
        <v>0</v>
      </c>
      <c r="DN77" s="107">
        <f t="shared" ref="DN77" si="87">AU77*BO77/100</f>
        <v>0</v>
      </c>
      <c r="DO77" s="107">
        <f t="shared" ref="DO77" si="88">AV77*BP77/100</f>
        <v>0</v>
      </c>
      <c r="DP77" s="107">
        <f t="shared" ref="DP77" si="89">AW77*BQ77/100</f>
        <v>1.2788999999999999</v>
      </c>
      <c r="DQ77">
        <f t="shared" si="69"/>
        <v>0</v>
      </c>
      <c r="DR77">
        <f t="shared" si="70"/>
        <v>0</v>
      </c>
      <c r="DS77">
        <f t="shared" si="79"/>
        <v>0</v>
      </c>
      <c r="DT77">
        <f t="shared" si="80"/>
        <v>0</v>
      </c>
      <c r="DU77"/>
      <c r="DV77" s="39">
        <v>46.5</v>
      </c>
      <c r="DW77" s="54">
        <f t="shared" si="81"/>
        <v>350</v>
      </c>
      <c r="DX77" s="33">
        <v>0.17499999999999999</v>
      </c>
      <c r="DY77" s="41">
        <v>2273.9644970414201</v>
      </c>
      <c r="DZ77" s="41">
        <v>2410.4023668639052</v>
      </c>
      <c r="EA77" s="35">
        <v>0.23</v>
      </c>
      <c r="EB77" s="36">
        <f t="shared" si="71"/>
        <v>0</v>
      </c>
      <c r="EC77" s="71">
        <f>K77*0.51</f>
        <v>3.3864000000000001</v>
      </c>
      <c r="ED77" s="80">
        <v>0</v>
      </c>
      <c r="EE77" s="81">
        <v>0</v>
      </c>
      <c r="EF77" s="81"/>
      <c r="EG77" s="390">
        <v>0.38</v>
      </c>
      <c r="EH77" s="70">
        <f>130*K77/10</f>
        <v>86.32</v>
      </c>
      <c r="EI77" s="38">
        <f t="shared" ref="EI77:EI115" si="90">IF(AR77="","",AR77*BL77)</f>
        <v>62.64</v>
      </c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>
        <v>55.05</v>
      </c>
      <c r="FJ77" s="37">
        <v>7.34</v>
      </c>
      <c r="FK77" s="47">
        <f t="shared" si="72"/>
        <v>4.1426959999999999</v>
      </c>
      <c r="FL77" s="37"/>
      <c r="FM77" s="48">
        <f t="shared" si="73"/>
        <v>0.62616822429906538</v>
      </c>
      <c r="FN77" s="48">
        <f t="shared" si="74"/>
        <v>0.59862645143018967</v>
      </c>
      <c r="FO77" s="142">
        <f t="shared" si="75"/>
        <v>1.0460082791247782</v>
      </c>
      <c r="FP77" s="142">
        <f t="shared" si="76"/>
        <v>0.21739592183517414</v>
      </c>
      <c r="FQ77" s="180">
        <f t="shared" si="77"/>
        <v>6.2592510525149567E-2</v>
      </c>
    </row>
    <row r="78" spans="1:173" x14ac:dyDescent="0.15">
      <c r="A78" s="134">
        <v>69</v>
      </c>
      <c r="B78" t="s">
        <v>281</v>
      </c>
      <c r="C78">
        <v>4257</v>
      </c>
      <c r="D78">
        <v>3681</v>
      </c>
      <c r="E78">
        <v>3382</v>
      </c>
      <c r="F78">
        <v>2148</v>
      </c>
      <c r="H78">
        <v>88.79</v>
      </c>
      <c r="I78">
        <v>43.9</v>
      </c>
      <c r="J78">
        <v>6.6</v>
      </c>
      <c r="K78">
        <v>1.24</v>
      </c>
      <c r="M78">
        <v>6.38</v>
      </c>
      <c r="O78">
        <v>7.63</v>
      </c>
      <c r="P78">
        <v>0.9</v>
      </c>
      <c r="Q78">
        <v>4.32</v>
      </c>
      <c r="R78">
        <v>0.12</v>
      </c>
      <c r="T78">
        <v>1.89</v>
      </c>
      <c r="U78">
        <v>9.82</v>
      </c>
      <c r="V78">
        <v>6.66</v>
      </c>
      <c r="X78">
        <v>17.48</v>
      </c>
      <c r="AB78">
        <v>27.750000000000004</v>
      </c>
      <c r="AC78">
        <v>88</v>
      </c>
      <c r="AD78" s="136">
        <v>40.572900000000004</v>
      </c>
      <c r="AF78">
        <v>3.17</v>
      </c>
      <c r="AG78">
        <v>1.26</v>
      </c>
      <c r="AH78">
        <v>1.96</v>
      </c>
      <c r="AI78">
        <v>3.43</v>
      </c>
      <c r="AJ78">
        <v>2.76</v>
      </c>
      <c r="AK78">
        <v>0.6</v>
      </c>
      <c r="AL78">
        <v>2.2599999999999998</v>
      </c>
      <c r="AM78">
        <v>1.76</v>
      </c>
      <c r="AN78">
        <v>0.59</v>
      </c>
      <c r="AO78">
        <v>1.93</v>
      </c>
      <c r="AR78">
        <v>0.68</v>
      </c>
      <c r="AW78">
        <v>1.55</v>
      </c>
      <c r="AY78">
        <v>85</v>
      </c>
      <c r="AZ78">
        <v>92</v>
      </c>
      <c r="BA78">
        <v>86</v>
      </c>
      <c r="BB78">
        <v>88</v>
      </c>
      <c r="BC78">
        <v>86</v>
      </c>
      <c r="BD78">
        <v>88</v>
      </c>
      <c r="BE78">
        <v>89</v>
      </c>
      <c r="BF78">
        <v>87</v>
      </c>
      <c r="BG78">
        <v>83</v>
      </c>
      <c r="BH78">
        <v>90</v>
      </c>
      <c r="BI78">
        <v>84</v>
      </c>
      <c r="BL78">
        <v>84</v>
      </c>
      <c r="BQ78">
        <v>86</v>
      </c>
      <c r="BS78">
        <v>0.35</v>
      </c>
      <c r="BT78">
        <v>0.05</v>
      </c>
      <c r="BU78">
        <v>1.96</v>
      </c>
      <c r="BV78">
        <v>0.28999999999999998</v>
      </c>
      <c r="BW78">
        <v>0.01</v>
      </c>
      <c r="BX78">
        <v>0.64</v>
      </c>
      <c r="BY78">
        <v>0.39</v>
      </c>
      <c r="CA78">
        <v>0.36</v>
      </c>
      <c r="CB78">
        <v>39</v>
      </c>
      <c r="CC78">
        <v>48</v>
      </c>
      <c r="CD78">
        <v>78</v>
      </c>
      <c r="CE78" s="139">
        <v>85</v>
      </c>
      <c r="CF78" s="4">
        <v>24.420000000000005</v>
      </c>
      <c r="CH78" s="107">
        <v>35.119999999999997</v>
      </c>
      <c r="CI78" s="107">
        <v>2.8530000000000002</v>
      </c>
      <c r="CJ78" s="107">
        <v>1.0584</v>
      </c>
      <c r="CK78" s="107">
        <v>1.6463999999999999</v>
      </c>
      <c r="CL78" s="107">
        <v>2.8468999999999998</v>
      </c>
      <c r="CM78" s="107">
        <v>2.3460000000000001</v>
      </c>
      <c r="CN78" s="107">
        <v>0.51</v>
      </c>
      <c r="CO78" s="107">
        <v>1.0268000000000002</v>
      </c>
      <c r="CP78" s="107">
        <v>1.921</v>
      </c>
      <c r="CQ78" s="107">
        <v>3.2075</v>
      </c>
      <c r="CR78" s="107">
        <v>1.3728</v>
      </c>
      <c r="CS78" s="107">
        <v>0.50149999999999995</v>
      </c>
      <c r="CT78" s="107">
        <v>1.5246999999999999</v>
      </c>
      <c r="CU78" s="107"/>
      <c r="CV78" s="107">
        <v>37.314999999999998</v>
      </c>
      <c r="CW78" s="107">
        <f t="shared" si="56"/>
        <v>2.9163999999999999</v>
      </c>
      <c r="CX78" s="107">
        <f t="shared" si="57"/>
        <v>1.0835999999999999</v>
      </c>
      <c r="CY78" s="107">
        <f t="shared" si="58"/>
        <v>1.7247999999999999</v>
      </c>
      <c r="CZ78" s="107">
        <f t="shared" si="59"/>
        <v>2.9498000000000002</v>
      </c>
      <c r="DA78" s="107">
        <f t="shared" si="60"/>
        <v>2.4287999999999998</v>
      </c>
      <c r="DB78" s="107">
        <f t="shared" si="61"/>
        <v>0.53400000000000003</v>
      </c>
      <c r="DC78" s="107">
        <f t="shared" si="78"/>
        <v>1.1052000000000002</v>
      </c>
      <c r="DD78" s="107">
        <f t="shared" si="65"/>
        <v>1.9661999999999997</v>
      </c>
      <c r="DE78" s="107">
        <f t="shared" si="64"/>
        <v>3.2991999999999999</v>
      </c>
      <c r="DF78" s="107">
        <f t="shared" si="66"/>
        <v>1.4608000000000001</v>
      </c>
      <c r="DG78" s="107">
        <f t="shared" si="67"/>
        <v>0.53099999999999992</v>
      </c>
      <c r="DH78" s="107">
        <f t="shared" si="68"/>
        <v>1.6212</v>
      </c>
      <c r="DI78" s="107"/>
      <c r="DJ78" s="107"/>
      <c r="DK78" s="107"/>
      <c r="DL78" s="107"/>
      <c r="DM78" s="107"/>
      <c r="DN78" s="107"/>
      <c r="DO78" s="107"/>
      <c r="DP78" s="107"/>
      <c r="DQ78">
        <f t="shared" si="69"/>
        <v>0.24960000000000002</v>
      </c>
      <c r="DR78">
        <f t="shared" si="70"/>
        <v>0.30719999999999997</v>
      </c>
      <c r="DS78">
        <f t="shared" si="79"/>
        <v>0.27299999999999996</v>
      </c>
      <c r="DT78">
        <f t="shared" si="80"/>
        <v>0.29749999999999999</v>
      </c>
      <c r="DU78"/>
      <c r="DV78" s="83">
        <v>43.8</v>
      </c>
      <c r="DW78" s="54">
        <f t="shared" si="81"/>
        <v>310</v>
      </c>
      <c r="DX78" s="33">
        <v>0.155</v>
      </c>
      <c r="DY78" s="34">
        <v>1920</v>
      </c>
      <c r="DZ78" s="34">
        <v>2070</v>
      </c>
      <c r="EA78" s="35">
        <v>0.31</v>
      </c>
      <c r="EB78" s="36">
        <f t="shared" si="71"/>
        <v>0.19839999999999999</v>
      </c>
      <c r="EC78" s="37">
        <v>0.69</v>
      </c>
      <c r="ED78" s="80">
        <v>0</v>
      </c>
      <c r="EE78" s="81">
        <v>0</v>
      </c>
      <c r="EF78" s="81"/>
      <c r="EG78" s="390">
        <v>0.36</v>
      </c>
      <c r="EH78" s="70">
        <f>130*K78/10</f>
        <v>16.119999999999997</v>
      </c>
      <c r="EI78" s="38">
        <f t="shared" si="90"/>
        <v>57.120000000000005</v>
      </c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>
        <v>55.05</v>
      </c>
      <c r="FJ78" s="37">
        <v>7.34</v>
      </c>
      <c r="FK78" s="47">
        <f t="shared" si="72"/>
        <v>0.77363599999999999</v>
      </c>
      <c r="FL78" s="37"/>
      <c r="FM78" s="48">
        <f t="shared" si="73"/>
        <v>0.54959658281917412</v>
      </c>
      <c r="FN78" s="48">
        <f t="shared" si="74"/>
        <v>0.58471760797342187</v>
      </c>
      <c r="FO78" s="142">
        <f t="shared" si="75"/>
        <v>0.93993506493506496</v>
      </c>
      <c r="FP78" s="142">
        <f t="shared" si="76"/>
        <v>0.18001220421723502</v>
      </c>
      <c r="FQ78" s="180">
        <f t="shared" si="77"/>
        <v>6.7193621867881553E-2</v>
      </c>
    </row>
    <row r="79" spans="1:173" s="113" customFormat="1" ht="12.75" customHeight="1" x14ac:dyDescent="0.15">
      <c r="A79" s="194">
        <v>70</v>
      </c>
      <c r="B79" s="113" t="s">
        <v>282</v>
      </c>
      <c r="C79" s="113">
        <v>4256</v>
      </c>
      <c r="D79" s="113">
        <v>3619</v>
      </c>
      <c r="E79" s="113">
        <v>3294</v>
      </c>
      <c r="F79" s="113">
        <v>2087</v>
      </c>
      <c r="G79" s="113">
        <f>F79/F24</f>
        <v>0.78106287425149701</v>
      </c>
      <c r="H79" s="113">
        <v>89.98</v>
      </c>
      <c r="I79" s="113">
        <v>47.73</v>
      </c>
      <c r="J79" s="113">
        <v>3.89</v>
      </c>
      <c r="K79" s="113">
        <v>1.52</v>
      </c>
      <c r="L79" s="113">
        <v>2.86</v>
      </c>
      <c r="M79" s="113">
        <v>6.27</v>
      </c>
      <c r="N79" s="113">
        <v>0</v>
      </c>
      <c r="O79" s="113">
        <v>4.3</v>
      </c>
      <c r="P79" s="113">
        <v>3.78</v>
      </c>
      <c r="Q79" s="113">
        <v>7.33</v>
      </c>
      <c r="R79" s="113">
        <v>0</v>
      </c>
      <c r="S79" s="113">
        <v>3.81</v>
      </c>
      <c r="T79" s="113">
        <v>1.89</v>
      </c>
      <c r="U79" s="113">
        <v>8.2100000000000009</v>
      </c>
      <c r="V79" s="113">
        <v>5.28</v>
      </c>
      <c r="W79" s="113">
        <v>1.1000000000000001</v>
      </c>
      <c r="X79" s="113">
        <v>16.71</v>
      </c>
      <c r="AB79" s="113">
        <v>28.270000000000007</v>
      </c>
      <c r="AC79" s="113">
        <v>88</v>
      </c>
      <c r="AD79" s="195">
        <v>41.477900000000005</v>
      </c>
      <c r="AF79" s="113">
        <v>3.45</v>
      </c>
      <c r="AG79" s="113">
        <v>1.28</v>
      </c>
      <c r="AH79" s="113">
        <v>2.14</v>
      </c>
      <c r="AI79" s="113">
        <v>3.62</v>
      </c>
      <c r="AJ79" s="113">
        <v>2.96</v>
      </c>
      <c r="AK79" s="113">
        <v>0.66</v>
      </c>
      <c r="AL79" s="113">
        <v>2.4</v>
      </c>
      <c r="AM79" s="113">
        <v>1.86</v>
      </c>
      <c r="AN79" s="113">
        <v>0.66</v>
      </c>
      <c r="AO79" s="113">
        <v>2.23</v>
      </c>
      <c r="AP79" s="113">
        <v>2.06</v>
      </c>
      <c r="AQ79" s="113">
        <v>5.41</v>
      </c>
      <c r="AR79" s="113">
        <v>0.7</v>
      </c>
      <c r="AS79" s="113">
        <v>8.5399999999999991</v>
      </c>
      <c r="AT79" s="113">
        <v>1.99</v>
      </c>
      <c r="AU79" s="113">
        <v>2.5299999999999998</v>
      </c>
      <c r="AV79" s="113">
        <v>2.36</v>
      </c>
      <c r="AW79" s="113">
        <v>1.59</v>
      </c>
      <c r="AY79" s="113">
        <v>87</v>
      </c>
      <c r="AZ79" s="113">
        <v>94</v>
      </c>
      <c r="BA79" s="113">
        <v>90</v>
      </c>
      <c r="BB79" s="113">
        <v>89</v>
      </c>
      <c r="BC79" s="113">
        <v>88</v>
      </c>
      <c r="BD79" s="113">
        <v>89</v>
      </c>
      <c r="BE79" s="113">
        <v>90</v>
      </c>
      <c r="BF79" s="113">
        <v>88</v>
      </c>
      <c r="BG79" s="113">
        <v>85</v>
      </c>
      <c r="BH79" s="113">
        <v>91</v>
      </c>
      <c r="BI79" s="113">
        <v>87</v>
      </c>
      <c r="BJ79" s="113">
        <v>85</v>
      </c>
      <c r="BK79" s="113">
        <v>87</v>
      </c>
      <c r="BL79" s="113">
        <v>84</v>
      </c>
      <c r="BM79" s="113">
        <v>89</v>
      </c>
      <c r="BN79" s="113">
        <v>84</v>
      </c>
      <c r="BO79" s="113">
        <v>113</v>
      </c>
      <c r="BP79" s="113">
        <v>89</v>
      </c>
      <c r="BQ79" s="113">
        <v>88</v>
      </c>
      <c r="BS79" s="113">
        <v>0.33</v>
      </c>
      <c r="BT79" s="113">
        <v>4.9000000000000002E-2</v>
      </c>
      <c r="BU79" s="113">
        <v>2.2400000000000002</v>
      </c>
      <c r="BV79" s="113">
        <v>0.27</v>
      </c>
      <c r="BW79" s="113">
        <v>0.08</v>
      </c>
      <c r="BX79" s="113">
        <v>0.71</v>
      </c>
      <c r="BY79" s="113">
        <v>0.4</v>
      </c>
      <c r="CA79" s="113">
        <v>0.38</v>
      </c>
      <c r="CB79" s="113">
        <v>39</v>
      </c>
      <c r="CC79" s="113">
        <v>48</v>
      </c>
      <c r="CD79" s="113">
        <v>78</v>
      </c>
      <c r="CE79" s="163">
        <v>85</v>
      </c>
      <c r="CF79" s="186">
        <v>24.877600000000008</v>
      </c>
      <c r="CH79" s="188">
        <v>39.138599999999997</v>
      </c>
      <c r="CI79" s="188">
        <v>3.1740000000000004</v>
      </c>
      <c r="CJ79" s="188">
        <v>1.1135999999999999</v>
      </c>
      <c r="CK79" s="188">
        <v>1.8618000000000001</v>
      </c>
      <c r="CL79" s="188">
        <v>3.1132</v>
      </c>
      <c r="CM79" s="188">
        <v>2.5751999999999997</v>
      </c>
      <c r="CN79" s="188">
        <v>0.58080000000000009</v>
      </c>
      <c r="CO79" s="188">
        <v>1.1337999999999999</v>
      </c>
      <c r="CP79" s="188">
        <v>2.0640000000000001</v>
      </c>
      <c r="CQ79" s="188">
        <v>3.3996000000000004</v>
      </c>
      <c r="CR79" s="188">
        <v>1.4880000000000002</v>
      </c>
      <c r="CS79" s="188">
        <v>0.58080000000000009</v>
      </c>
      <c r="CT79" s="188">
        <v>1.8509</v>
      </c>
      <c r="CU79" s="188"/>
      <c r="CV79" s="188">
        <v>41.525099999999995</v>
      </c>
      <c r="CW79" s="188">
        <f t="shared" si="56"/>
        <v>3.2430000000000003</v>
      </c>
      <c r="CX79" s="188">
        <f t="shared" si="57"/>
        <v>1.1520000000000001</v>
      </c>
      <c r="CY79" s="188">
        <f t="shared" si="58"/>
        <v>1.9046000000000001</v>
      </c>
      <c r="CZ79" s="188">
        <f t="shared" si="59"/>
        <v>3.1856</v>
      </c>
      <c r="DA79" s="188">
        <f t="shared" si="60"/>
        <v>2.6343999999999999</v>
      </c>
      <c r="DB79" s="188">
        <f t="shared" si="61"/>
        <v>0.59400000000000008</v>
      </c>
      <c r="DC79" s="188">
        <f t="shared" si="78"/>
        <v>1.1819999999999999</v>
      </c>
      <c r="DD79" s="188">
        <f t="shared" si="65"/>
        <v>2.1120000000000001</v>
      </c>
      <c r="DE79" s="188">
        <f t="shared" si="64"/>
        <v>3.5112000000000005</v>
      </c>
      <c r="DF79" s="188">
        <f t="shared" si="66"/>
        <v>1.581</v>
      </c>
      <c r="DG79" s="188">
        <f t="shared" si="67"/>
        <v>0.60060000000000002</v>
      </c>
      <c r="DH79" s="188">
        <f t="shared" si="68"/>
        <v>1.9400999999999999</v>
      </c>
      <c r="DI79" s="188"/>
      <c r="DJ79" s="188"/>
      <c r="DK79" s="188"/>
      <c r="DL79" s="188"/>
      <c r="DM79" s="188"/>
      <c r="DN79" s="188"/>
      <c r="DO79" s="188"/>
      <c r="DP79" s="188"/>
      <c r="DQ79" s="113">
        <f t="shared" si="69"/>
        <v>0.27689999999999998</v>
      </c>
      <c r="DR79" s="113">
        <f t="shared" si="70"/>
        <v>0.34079999999999999</v>
      </c>
      <c r="DS79" s="113">
        <f t="shared" si="79"/>
        <v>0.25740000000000002</v>
      </c>
      <c r="DT79" s="113">
        <f t="shared" si="80"/>
        <v>0.28050000000000003</v>
      </c>
      <c r="DV79" s="371">
        <v>46.5</v>
      </c>
      <c r="DW79" s="54">
        <f t="shared" si="81"/>
        <v>400</v>
      </c>
      <c r="DX79" s="458">
        <f>IF('Lys Calculator-kg'!E4="$/ton", 'Lys Calculator-kg'!D4/2000, IF('Lys Calculator-kg'!E4="$/tonne",'Lys Calculator-kg'!D4/2200,""))</f>
        <v>0.2</v>
      </c>
      <c r="DY79" s="372">
        <v>2000</v>
      </c>
      <c r="DZ79" s="372">
        <v>2120</v>
      </c>
      <c r="EA79" s="190">
        <v>0.23</v>
      </c>
      <c r="EB79" s="373">
        <f t="shared" si="71"/>
        <v>0.1633</v>
      </c>
      <c r="EC79" s="187">
        <v>0.6</v>
      </c>
      <c r="ED79" s="184">
        <v>0</v>
      </c>
      <c r="EE79" s="197">
        <v>0</v>
      </c>
      <c r="EF79" s="197"/>
      <c r="EG79" s="391">
        <v>0.47</v>
      </c>
      <c r="EH79" s="374">
        <f>125*K79/10</f>
        <v>19</v>
      </c>
      <c r="EI79" s="185">
        <f t="shared" si="90"/>
        <v>58.8</v>
      </c>
      <c r="EJ79" s="187"/>
      <c r="EK79" s="187"/>
      <c r="EL79" s="187"/>
      <c r="EM79" s="187"/>
      <c r="EN79" s="187"/>
      <c r="EO79" s="187"/>
      <c r="EP79" s="187"/>
      <c r="EQ79" s="187"/>
      <c r="ER79" s="187"/>
      <c r="ES79" s="187"/>
      <c r="ET79" s="187"/>
      <c r="EU79" s="187"/>
      <c r="EV79" s="187"/>
      <c r="EW79" s="187"/>
      <c r="EX79" s="187"/>
      <c r="EY79" s="187"/>
      <c r="EZ79" s="187"/>
      <c r="FA79" s="187"/>
      <c r="FB79" s="187"/>
      <c r="FC79" s="187"/>
      <c r="FD79" s="187"/>
      <c r="FE79" s="187"/>
      <c r="FF79" s="187"/>
      <c r="FG79" s="187"/>
      <c r="FH79" s="187"/>
      <c r="FI79" s="187">
        <v>55.05</v>
      </c>
      <c r="FJ79" s="187">
        <v>7.34</v>
      </c>
      <c r="FK79" s="375">
        <f t="shared" si="72"/>
        <v>0.94832800000000006</v>
      </c>
      <c r="FL79" s="187"/>
      <c r="FM79" s="191">
        <f t="shared" si="73"/>
        <v>0.60902184831742845</v>
      </c>
      <c r="FN79" s="191">
        <f t="shared" si="74"/>
        <v>0.59787795077850325</v>
      </c>
      <c r="FO79" s="192">
        <f t="shared" si="75"/>
        <v>1.0186390843221673</v>
      </c>
      <c r="FP79" s="192">
        <f t="shared" si="76"/>
        <v>0.18853591160220995</v>
      </c>
      <c r="FQ79" s="193">
        <f t="shared" si="77"/>
        <v>6.6742090928137446E-2</v>
      </c>
    </row>
    <row r="80" spans="1:173" ht="12.75" customHeight="1" x14ac:dyDescent="0.15">
      <c r="A80" s="134">
        <v>71</v>
      </c>
      <c r="B80" t="s">
        <v>283</v>
      </c>
      <c r="C80">
        <v>4378</v>
      </c>
      <c r="D80">
        <v>3717</v>
      </c>
      <c r="E80">
        <v>3369</v>
      </c>
      <c r="F80">
        <v>2137</v>
      </c>
      <c r="H80">
        <v>88.66</v>
      </c>
      <c r="I80">
        <v>51.17</v>
      </c>
      <c r="J80">
        <v>3.62</v>
      </c>
      <c r="K80">
        <v>1.1000000000000001</v>
      </c>
      <c r="M80">
        <v>6.19</v>
      </c>
      <c r="O80">
        <v>4.28</v>
      </c>
      <c r="P80">
        <v>0.68</v>
      </c>
      <c r="Q80">
        <v>3.12</v>
      </c>
      <c r="T80">
        <v>1.89</v>
      </c>
      <c r="U80">
        <v>5.5</v>
      </c>
      <c r="V80">
        <v>2.95</v>
      </c>
      <c r="AB80">
        <v>24.02999999999999</v>
      </c>
      <c r="AC80">
        <v>88</v>
      </c>
      <c r="AD80" s="136">
        <v>41.284799999999997</v>
      </c>
      <c r="AF80">
        <v>3.78</v>
      </c>
      <c r="AG80">
        <v>1.31</v>
      </c>
      <c r="AH80">
        <v>2.36</v>
      </c>
      <c r="AI80">
        <v>3.87</v>
      </c>
      <c r="AJ80">
        <v>3.11</v>
      </c>
      <c r="AK80">
        <v>0.68</v>
      </c>
      <c r="AL80">
        <v>2.59</v>
      </c>
      <c r="AM80">
        <v>1.92</v>
      </c>
      <c r="AN80">
        <v>0.68</v>
      </c>
      <c r="AO80">
        <v>2.48</v>
      </c>
      <c r="AR80">
        <v>0.79</v>
      </c>
      <c r="AW80">
        <v>1.98</v>
      </c>
      <c r="AY80">
        <v>85</v>
      </c>
      <c r="AZ80">
        <v>92</v>
      </c>
      <c r="BA80">
        <v>88</v>
      </c>
      <c r="BB80">
        <v>84</v>
      </c>
      <c r="BC80">
        <v>85</v>
      </c>
      <c r="BD80">
        <v>87</v>
      </c>
      <c r="BE80">
        <v>89</v>
      </c>
      <c r="BF80">
        <v>84</v>
      </c>
      <c r="BG80">
        <v>81</v>
      </c>
      <c r="BH80">
        <v>85</v>
      </c>
      <c r="BI80">
        <v>84</v>
      </c>
      <c r="BL80">
        <v>78</v>
      </c>
      <c r="BQ80">
        <v>88</v>
      </c>
      <c r="BS80">
        <v>0.56000000000000005</v>
      </c>
      <c r="BX80">
        <v>0.77</v>
      </c>
      <c r="CB80">
        <v>39</v>
      </c>
      <c r="CC80">
        <v>48</v>
      </c>
      <c r="CD80">
        <v>78</v>
      </c>
      <c r="CE80" s="139">
        <v>85</v>
      </c>
      <c r="CF80" s="4">
        <v>21.146399999999989</v>
      </c>
      <c r="CH80" s="107">
        <v>40.936000000000007</v>
      </c>
      <c r="CI80" s="107">
        <v>3.4019999999999997</v>
      </c>
      <c r="CJ80" s="107">
        <v>1.1266</v>
      </c>
      <c r="CK80" s="107">
        <v>1.9351999999999998</v>
      </c>
      <c r="CL80" s="107">
        <v>3.2121000000000004</v>
      </c>
      <c r="CM80" s="107">
        <v>2.6434999999999995</v>
      </c>
      <c r="CN80" s="107">
        <v>0.59160000000000001</v>
      </c>
      <c r="CO80" s="107">
        <v>1.1762000000000001</v>
      </c>
      <c r="CP80" s="107">
        <v>2.1238000000000001</v>
      </c>
      <c r="CQ80" s="107">
        <v>3.7869999999999999</v>
      </c>
      <c r="CR80" s="107">
        <v>1.4591999999999998</v>
      </c>
      <c r="CS80" s="107">
        <v>0.56440000000000001</v>
      </c>
      <c r="CT80" s="107">
        <v>2.0087999999999999</v>
      </c>
      <c r="CU80" s="107"/>
      <c r="CV80" s="107">
        <v>43.494499999999995</v>
      </c>
      <c r="CW80" s="107">
        <f t="shared" si="56"/>
        <v>3.4775999999999998</v>
      </c>
      <c r="CX80" s="107">
        <f t="shared" si="57"/>
        <v>1.1528</v>
      </c>
      <c r="CY80" s="107">
        <f t="shared" si="58"/>
        <v>1.9823999999999997</v>
      </c>
      <c r="CZ80" s="107">
        <f t="shared" si="59"/>
        <v>3.2894999999999999</v>
      </c>
      <c r="DA80" s="107">
        <f t="shared" si="60"/>
        <v>2.7056999999999998</v>
      </c>
      <c r="DB80" s="107">
        <f t="shared" si="61"/>
        <v>0.60520000000000007</v>
      </c>
      <c r="DC80" s="107">
        <f t="shared" si="78"/>
        <v>1.2214</v>
      </c>
      <c r="DD80" s="107">
        <f t="shared" si="65"/>
        <v>2.1756000000000002</v>
      </c>
      <c r="DE80" s="107">
        <f t="shared" si="64"/>
        <v>3.9180000000000001</v>
      </c>
      <c r="DF80" s="107">
        <f t="shared" si="66"/>
        <v>1.5551999999999999</v>
      </c>
      <c r="DG80" s="107">
        <f t="shared" si="67"/>
        <v>0.57800000000000007</v>
      </c>
      <c r="DH80" s="107">
        <f t="shared" si="68"/>
        <v>2.0831999999999997</v>
      </c>
      <c r="DI80" s="107"/>
      <c r="DJ80" s="107"/>
      <c r="DK80" s="107"/>
      <c r="DL80" s="107"/>
      <c r="DM80" s="107"/>
      <c r="DN80" s="107"/>
      <c r="DO80" s="107"/>
      <c r="DP80" s="107"/>
      <c r="DQ80">
        <f t="shared" si="69"/>
        <v>0.30030000000000001</v>
      </c>
      <c r="DR80">
        <f t="shared" si="70"/>
        <v>0.36959999999999998</v>
      </c>
      <c r="DS80">
        <f t="shared" si="79"/>
        <v>0.43680000000000008</v>
      </c>
      <c r="DT80">
        <f t="shared" si="80"/>
        <v>0.47600000000000003</v>
      </c>
      <c r="DU80"/>
      <c r="DV80" s="39"/>
      <c r="DW80" s="54">
        <f t="shared" si="81"/>
        <v>640</v>
      </c>
      <c r="DX80" s="33">
        <v>0.32</v>
      </c>
      <c r="DY80" s="79">
        <v>0</v>
      </c>
      <c r="DZ80" s="79">
        <v>0</v>
      </c>
      <c r="EA80" s="35">
        <v>0.31</v>
      </c>
      <c r="EB80" s="36">
        <f t="shared" si="71"/>
        <v>0.2387</v>
      </c>
      <c r="EC80" s="80">
        <v>0</v>
      </c>
      <c r="ED80" s="80">
        <v>0</v>
      </c>
      <c r="EE80" s="80">
        <v>0</v>
      </c>
      <c r="EF80" s="383"/>
      <c r="EG80" s="392">
        <v>0.44</v>
      </c>
      <c r="EH80" s="80">
        <v>0</v>
      </c>
      <c r="EI80" s="38">
        <f t="shared" si="90"/>
        <v>61.620000000000005</v>
      </c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>
        <v>55.05</v>
      </c>
      <c r="FJ80" s="37">
        <v>7.34</v>
      </c>
      <c r="FK80" s="47">
        <f t="shared" si="72"/>
        <v>0.68629000000000007</v>
      </c>
      <c r="FL80" s="37"/>
      <c r="FM80" s="48">
        <f t="shared" si="73"/>
        <v>0.63328773369813041</v>
      </c>
      <c r="FN80" s="48">
        <f t="shared" si="74"/>
        <v>0.60264477884176926</v>
      </c>
      <c r="FO80" s="142">
        <f t="shared" si="75"/>
        <v>1.0508474576271187</v>
      </c>
      <c r="FP80" s="142">
        <f t="shared" si="76"/>
        <v>0.17571059431524549</v>
      </c>
      <c r="FQ80" s="180">
        <f t="shared" si="77"/>
        <v>6.4285714285714279E-2</v>
      </c>
    </row>
    <row r="81" spans="1:173" ht="12.75" customHeight="1" x14ac:dyDescent="0.15">
      <c r="A81" s="134">
        <v>72</v>
      </c>
      <c r="B81" t="s">
        <v>284</v>
      </c>
      <c r="C81">
        <v>4451</v>
      </c>
      <c r="D81">
        <v>3914</v>
      </c>
      <c r="E81">
        <v>3536</v>
      </c>
      <c r="H81">
        <v>92.7</v>
      </c>
      <c r="I81">
        <v>55.62</v>
      </c>
      <c r="J81">
        <v>4.0599999999999996</v>
      </c>
      <c r="K81">
        <v>1.82</v>
      </c>
      <c r="M81">
        <v>7.05</v>
      </c>
      <c r="T81">
        <v>1.89</v>
      </c>
      <c r="AB81">
        <v>26.320000000000004</v>
      </c>
      <c r="AC81">
        <v>88</v>
      </c>
      <c r="AD81" s="136">
        <v>43.537400000000005</v>
      </c>
      <c r="AF81">
        <v>3.95</v>
      </c>
      <c r="AG81">
        <v>1.41</v>
      </c>
      <c r="AH81">
        <v>2.48</v>
      </c>
      <c r="AI81">
        <v>4.09</v>
      </c>
      <c r="AJ81">
        <v>3.2</v>
      </c>
      <c r="AK81">
        <v>0.71</v>
      </c>
      <c r="AL81">
        <v>2.78</v>
      </c>
      <c r="AM81">
        <v>2.13</v>
      </c>
      <c r="AN81">
        <v>0.72</v>
      </c>
      <c r="AO81">
        <v>2.57</v>
      </c>
      <c r="AR81">
        <v>0.78</v>
      </c>
      <c r="AW81">
        <v>2.0299999999999998</v>
      </c>
      <c r="AY81">
        <v>88</v>
      </c>
      <c r="AZ81">
        <v>96</v>
      </c>
      <c r="BA81">
        <v>90</v>
      </c>
      <c r="BB81">
        <v>89</v>
      </c>
      <c r="BC81">
        <v>89</v>
      </c>
      <c r="BD81">
        <v>86</v>
      </c>
      <c r="BE81">
        <v>91</v>
      </c>
      <c r="BF81">
        <v>86</v>
      </c>
      <c r="BG81">
        <v>83</v>
      </c>
      <c r="BH81">
        <v>83</v>
      </c>
      <c r="BI81">
        <v>89</v>
      </c>
      <c r="BL81">
        <v>73</v>
      </c>
      <c r="BQ81">
        <v>92</v>
      </c>
      <c r="BS81">
        <v>0.31</v>
      </c>
      <c r="BX81">
        <v>0.75</v>
      </c>
      <c r="CB81">
        <v>60</v>
      </c>
      <c r="CC81">
        <v>66</v>
      </c>
      <c r="CF81" s="4">
        <v>23.161600000000004</v>
      </c>
      <c r="CH81" s="107">
        <v>45.608400000000003</v>
      </c>
      <c r="CI81" s="107">
        <v>3.6340000000000003</v>
      </c>
      <c r="CJ81" s="107">
        <v>1.2266999999999999</v>
      </c>
      <c r="CK81" s="107">
        <v>2.1328</v>
      </c>
      <c r="CL81" s="107">
        <v>3.5174000000000003</v>
      </c>
      <c r="CM81" s="107">
        <v>2.6560000000000001</v>
      </c>
      <c r="CN81" s="107">
        <v>0.62480000000000002</v>
      </c>
      <c r="CO81" s="107">
        <v>1.1552</v>
      </c>
      <c r="CP81" s="107">
        <v>2.3073999999999999</v>
      </c>
      <c r="CQ81" s="107">
        <v>4.0531999999999995</v>
      </c>
      <c r="CR81" s="107">
        <v>1.6613999999999998</v>
      </c>
      <c r="CS81" s="107">
        <v>0.57599999999999996</v>
      </c>
      <c r="CT81" s="107">
        <v>2.1587999999999998</v>
      </c>
      <c r="CU81" s="107"/>
      <c r="CV81" s="107">
        <v>48.945599999999992</v>
      </c>
      <c r="CW81" s="107">
        <f t="shared" si="56"/>
        <v>3.7920000000000003</v>
      </c>
      <c r="CX81" s="107">
        <f t="shared" si="57"/>
        <v>1.2689999999999999</v>
      </c>
      <c r="CY81" s="107">
        <f t="shared" si="58"/>
        <v>2.2071999999999998</v>
      </c>
      <c r="CZ81" s="107">
        <f t="shared" si="59"/>
        <v>3.6400999999999999</v>
      </c>
      <c r="DA81" s="107">
        <f t="shared" si="60"/>
        <v>2.7519999999999998</v>
      </c>
      <c r="DB81" s="107">
        <f t="shared" si="61"/>
        <v>0.64610000000000001</v>
      </c>
      <c r="DC81" s="107">
        <f t="shared" si="78"/>
        <v>1.2155</v>
      </c>
      <c r="DD81" s="107">
        <f t="shared" si="65"/>
        <v>2.3908</v>
      </c>
      <c r="DE81" s="107">
        <f t="shared" si="64"/>
        <v>4.2584</v>
      </c>
      <c r="DF81" s="107">
        <f t="shared" si="66"/>
        <v>1.7679</v>
      </c>
      <c r="DG81" s="107">
        <f t="shared" si="67"/>
        <v>0.59760000000000002</v>
      </c>
      <c r="DH81" s="107">
        <f t="shared" si="68"/>
        <v>2.2873000000000001</v>
      </c>
      <c r="DI81" s="107"/>
      <c r="DJ81" s="107"/>
      <c r="DK81" s="107"/>
      <c r="DL81" s="107"/>
      <c r="DM81" s="107"/>
      <c r="DN81" s="107"/>
      <c r="DO81" s="107"/>
      <c r="DP81" s="107"/>
      <c r="DQ81">
        <f t="shared" si="69"/>
        <v>0.45</v>
      </c>
      <c r="DR81">
        <f t="shared" si="70"/>
        <v>0.495</v>
      </c>
      <c r="DS81">
        <f t="shared" si="79"/>
        <v>0</v>
      </c>
      <c r="DT81">
        <f t="shared" si="80"/>
        <v>0</v>
      </c>
      <c r="DU81"/>
      <c r="DV81" s="32"/>
      <c r="DW81" s="54">
        <f t="shared" si="81"/>
        <v>40</v>
      </c>
      <c r="DX81" s="33">
        <v>0.02</v>
      </c>
      <c r="DY81" s="79">
        <v>0</v>
      </c>
      <c r="DZ81" s="79">
        <v>0</v>
      </c>
      <c r="EA81" s="149">
        <v>0</v>
      </c>
      <c r="EB81" s="36">
        <f t="shared" si="71"/>
        <v>0</v>
      </c>
      <c r="EC81" s="80">
        <v>0</v>
      </c>
      <c r="ED81" s="80">
        <v>0</v>
      </c>
      <c r="EE81" s="80">
        <v>0</v>
      </c>
      <c r="EF81" s="383"/>
      <c r="EG81" s="392">
        <f>BX82*0.662</f>
        <v>0.52960000000000007</v>
      </c>
      <c r="EH81" s="80">
        <v>0</v>
      </c>
      <c r="EI81" s="38">
        <f t="shared" si="90"/>
        <v>56.940000000000005</v>
      </c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>
        <v>55.05</v>
      </c>
      <c r="FJ81" s="37">
        <v>7.34</v>
      </c>
      <c r="FK81" s="47">
        <f t="shared" si="72"/>
        <v>1.1354980000000001</v>
      </c>
      <c r="FL81" s="37"/>
      <c r="FM81" s="48">
        <f t="shared" si="73"/>
        <v>0.62836185819070911</v>
      </c>
      <c r="FN81" s="48">
        <f t="shared" si="74"/>
        <v>0.60635696821515894</v>
      </c>
      <c r="FO81" s="142">
        <f t="shared" si="75"/>
        <v>1.0362903225806452</v>
      </c>
      <c r="FP81" s="142">
        <f t="shared" si="76"/>
        <v>0.16417131397489082</v>
      </c>
      <c r="FQ81" s="180">
        <f t="shared" si="77"/>
        <v>6.5445882775979861E-2</v>
      </c>
    </row>
    <row r="82" spans="1:173" ht="12.75" customHeight="1" x14ac:dyDescent="0.15">
      <c r="A82" s="134">
        <v>73</v>
      </c>
      <c r="B82" t="s">
        <v>285</v>
      </c>
      <c r="C82">
        <v>4533</v>
      </c>
      <c r="D82">
        <v>3975</v>
      </c>
      <c r="E82">
        <v>3607</v>
      </c>
      <c r="H82">
        <v>92.88</v>
      </c>
      <c r="I82">
        <v>54.07</v>
      </c>
      <c r="J82">
        <v>3.46</v>
      </c>
      <c r="K82">
        <v>2.2999999999999998</v>
      </c>
      <c r="M82">
        <v>6.98</v>
      </c>
      <c r="T82">
        <v>1.89</v>
      </c>
      <c r="AB82">
        <v>27.639999999999997</v>
      </c>
      <c r="AC82">
        <v>88</v>
      </c>
      <c r="AD82" s="136">
        <v>43.674700000000001</v>
      </c>
      <c r="AF82">
        <v>3.7</v>
      </c>
      <c r="AG82">
        <v>1.37</v>
      </c>
      <c r="AH82">
        <v>2.5499999999999998</v>
      </c>
      <c r="AI82">
        <v>4.25</v>
      </c>
      <c r="AJ82">
        <v>3.14</v>
      </c>
      <c r="AK82">
        <v>0.75</v>
      </c>
      <c r="AL82">
        <v>2.87</v>
      </c>
      <c r="AM82">
        <v>2.09</v>
      </c>
      <c r="AN82">
        <v>0.69</v>
      </c>
      <c r="AO82">
        <v>2.67</v>
      </c>
      <c r="AR82">
        <v>0.77</v>
      </c>
      <c r="AW82">
        <v>2.08</v>
      </c>
      <c r="AY82">
        <v>79</v>
      </c>
      <c r="AZ82">
        <v>90</v>
      </c>
      <c r="BA82">
        <v>81</v>
      </c>
      <c r="BB82">
        <v>82</v>
      </c>
      <c r="BC82">
        <v>82</v>
      </c>
      <c r="BD82">
        <v>75</v>
      </c>
      <c r="BE82">
        <v>88</v>
      </c>
      <c r="BF82">
        <v>80</v>
      </c>
      <c r="BG82">
        <v>73</v>
      </c>
      <c r="BH82">
        <v>78</v>
      </c>
      <c r="BI82">
        <v>80</v>
      </c>
      <c r="BL82">
        <v>64</v>
      </c>
      <c r="BQ82">
        <v>88</v>
      </c>
      <c r="BS82">
        <v>0.28999999999999998</v>
      </c>
      <c r="BX82">
        <v>0.8</v>
      </c>
      <c r="CB82">
        <v>60</v>
      </c>
      <c r="CC82">
        <v>66</v>
      </c>
      <c r="CF82" s="4">
        <v>24.323199999999996</v>
      </c>
      <c r="CH82" s="107">
        <v>38.930399999999999</v>
      </c>
      <c r="CI82" s="107">
        <v>3.2190000000000003</v>
      </c>
      <c r="CJ82" s="107">
        <v>1.0823</v>
      </c>
      <c r="CK82" s="107">
        <v>2.0145</v>
      </c>
      <c r="CL82" s="107">
        <v>3.3574999999999999</v>
      </c>
      <c r="CM82" s="107">
        <v>2.2608000000000001</v>
      </c>
      <c r="CN82" s="107">
        <v>0.63749999999999996</v>
      </c>
      <c r="CO82" s="107">
        <v>1.0841000000000001</v>
      </c>
      <c r="CP82" s="107">
        <v>2.2099000000000002</v>
      </c>
      <c r="CQ82" s="107">
        <v>3.9571000000000005</v>
      </c>
      <c r="CR82" s="107">
        <v>1.4212</v>
      </c>
      <c r="CS82" s="107">
        <v>0.51749999999999996</v>
      </c>
      <c r="CT82" s="107">
        <v>2.0024999999999999</v>
      </c>
      <c r="CU82" s="107"/>
      <c r="CV82" s="107">
        <v>42.715299999999999</v>
      </c>
      <c r="CW82" s="107">
        <f t="shared" si="56"/>
        <v>3.33</v>
      </c>
      <c r="CX82" s="107">
        <f t="shared" si="57"/>
        <v>1.1097000000000001</v>
      </c>
      <c r="CY82" s="107">
        <f t="shared" si="58"/>
        <v>2.0909999999999997</v>
      </c>
      <c r="CZ82" s="107">
        <f t="shared" si="59"/>
        <v>3.4849999999999999</v>
      </c>
      <c r="DA82" s="107">
        <f t="shared" si="60"/>
        <v>2.355</v>
      </c>
      <c r="DB82" s="107">
        <f t="shared" si="61"/>
        <v>0.66</v>
      </c>
      <c r="DC82" s="107">
        <f t="shared" si="78"/>
        <v>1.1528</v>
      </c>
      <c r="DD82" s="107">
        <f t="shared" si="65"/>
        <v>2.2960000000000003</v>
      </c>
      <c r="DE82" s="107">
        <f t="shared" si="64"/>
        <v>4.1264000000000003</v>
      </c>
      <c r="DF82" s="107">
        <f t="shared" si="66"/>
        <v>1.5256999999999998</v>
      </c>
      <c r="DG82" s="107">
        <f t="shared" si="67"/>
        <v>0.5381999999999999</v>
      </c>
      <c r="DH82" s="107">
        <f t="shared" si="68"/>
        <v>2.1360000000000001</v>
      </c>
      <c r="DI82" s="107"/>
      <c r="DJ82" s="107"/>
      <c r="DK82" s="107"/>
      <c r="DL82" s="107"/>
      <c r="DM82" s="107"/>
      <c r="DN82" s="107"/>
      <c r="DO82" s="107"/>
      <c r="DP82" s="107"/>
      <c r="DQ82">
        <f t="shared" si="69"/>
        <v>0.48</v>
      </c>
      <c r="DR82">
        <f t="shared" si="70"/>
        <v>0.52800000000000002</v>
      </c>
      <c r="DS82">
        <f t="shared" si="79"/>
        <v>0</v>
      </c>
      <c r="DT82">
        <f t="shared" si="80"/>
        <v>0</v>
      </c>
      <c r="DU82"/>
      <c r="DV82" s="32"/>
      <c r="DW82" s="54">
        <f t="shared" si="81"/>
        <v>70</v>
      </c>
      <c r="DX82" s="33">
        <v>3.5000000000000003E-2</v>
      </c>
      <c r="DY82" s="79">
        <v>0</v>
      </c>
      <c r="DZ82" s="79">
        <v>0</v>
      </c>
      <c r="EA82" s="149">
        <v>0</v>
      </c>
      <c r="EB82" s="36">
        <f t="shared" si="71"/>
        <v>0</v>
      </c>
      <c r="EC82" s="80">
        <v>0</v>
      </c>
      <c r="ED82" s="80">
        <v>0</v>
      </c>
      <c r="EE82" s="80">
        <v>0</v>
      </c>
      <c r="EF82" s="383"/>
      <c r="EG82" s="392">
        <v>0.25</v>
      </c>
      <c r="EH82" s="80">
        <v>0</v>
      </c>
      <c r="EI82" s="38">
        <f t="shared" si="90"/>
        <v>49.28</v>
      </c>
      <c r="EJ82" s="37"/>
      <c r="EK82" s="37"/>
      <c r="EL82" s="37"/>
      <c r="EM82" s="37"/>
      <c r="EN82" s="37"/>
      <c r="EO82" s="37"/>
      <c r="EP82" s="37"/>
      <c r="EQ82" s="37"/>
      <c r="ER82" s="37"/>
      <c r="ES82" s="37"/>
      <c r="ET82" s="37"/>
      <c r="EU82" s="37"/>
      <c r="EV82" s="37"/>
      <c r="EW82" s="37"/>
      <c r="EX82" s="37"/>
      <c r="EY82" s="37"/>
      <c r="EZ82" s="37"/>
      <c r="FA82" s="37"/>
      <c r="FB82" s="37"/>
      <c r="FC82" s="37"/>
      <c r="FD82" s="37"/>
      <c r="FE82" s="37"/>
      <c r="FF82" s="37"/>
      <c r="FG82" s="37"/>
      <c r="FH82" s="37"/>
      <c r="FI82" s="37">
        <v>55.05</v>
      </c>
      <c r="FJ82" s="37">
        <v>7.34</v>
      </c>
      <c r="FK82" s="47">
        <f t="shared" si="72"/>
        <v>1.4349699999999999</v>
      </c>
      <c r="FL82" s="37"/>
      <c r="FM82" s="48">
        <f t="shared" si="73"/>
        <v>0.61291248206599713</v>
      </c>
      <c r="FN82" s="48">
        <f t="shared" si="74"/>
        <v>0.6</v>
      </c>
      <c r="FO82" s="142">
        <f t="shared" si="75"/>
        <v>1.0215208034433287</v>
      </c>
      <c r="FP82" s="142">
        <f t="shared" si="76"/>
        <v>0.15443328550932567</v>
      </c>
      <c r="FQ82" s="180">
        <f t="shared" si="77"/>
        <v>6.4453486221564632E-2</v>
      </c>
    </row>
    <row r="83" spans="1:173" ht="12.75" customHeight="1" x14ac:dyDescent="0.15">
      <c r="A83" s="134">
        <v>74</v>
      </c>
      <c r="B83" t="s">
        <v>286</v>
      </c>
      <c r="C83">
        <v>4210</v>
      </c>
      <c r="D83">
        <v>2008</v>
      </c>
      <c r="E83">
        <v>1938</v>
      </c>
      <c r="F83">
        <v>989</v>
      </c>
      <c r="H83">
        <v>90.59</v>
      </c>
      <c r="I83">
        <v>10.27</v>
      </c>
      <c r="J83">
        <v>35.75</v>
      </c>
      <c r="K83">
        <v>1.29</v>
      </c>
      <c r="L83">
        <v>1.71</v>
      </c>
      <c r="M83">
        <v>4.46</v>
      </c>
      <c r="T83">
        <v>3.65</v>
      </c>
      <c r="U83">
        <v>59.39</v>
      </c>
      <c r="V83">
        <v>41.55</v>
      </c>
      <c r="AB83">
        <v>70.92</v>
      </c>
      <c r="AC83">
        <v>51</v>
      </c>
      <c r="AD83" s="136">
        <v>39.9435</v>
      </c>
      <c r="AF83">
        <v>0.6</v>
      </c>
      <c r="AG83">
        <v>0.28999999999999998</v>
      </c>
      <c r="AH83">
        <v>0.38</v>
      </c>
      <c r="AI83">
        <v>0.76</v>
      </c>
      <c r="AJ83">
        <v>0.66</v>
      </c>
      <c r="AK83">
        <v>0.14000000000000001</v>
      </c>
      <c r="AL83">
        <v>0.46</v>
      </c>
      <c r="AM83">
        <v>0.39</v>
      </c>
      <c r="AN83">
        <v>0.09</v>
      </c>
      <c r="AO83">
        <v>0.51</v>
      </c>
      <c r="AR83">
        <v>0.2</v>
      </c>
      <c r="AW83">
        <v>0.51</v>
      </c>
      <c r="AY83" s="23">
        <v>65.25</v>
      </c>
      <c r="AZ83">
        <v>82</v>
      </c>
      <c r="BA83">
        <v>56</v>
      </c>
      <c r="BB83">
        <v>67</v>
      </c>
      <c r="BC83">
        <v>68</v>
      </c>
      <c r="BD83">
        <v>58</v>
      </c>
      <c r="BE83">
        <v>70</v>
      </c>
      <c r="BF83">
        <v>71</v>
      </c>
      <c r="BG83">
        <v>62</v>
      </c>
      <c r="BH83">
        <v>62</v>
      </c>
      <c r="BI83">
        <v>61</v>
      </c>
      <c r="BL83">
        <v>63</v>
      </c>
      <c r="BQ83">
        <v>63</v>
      </c>
      <c r="BS83">
        <v>0.54</v>
      </c>
      <c r="BX83">
        <v>0.12</v>
      </c>
      <c r="CA83">
        <v>0.08</v>
      </c>
      <c r="CB83">
        <v>20</v>
      </c>
      <c r="CC83">
        <v>33</v>
      </c>
      <c r="CF83" s="4">
        <v>36.169200000000004</v>
      </c>
      <c r="CH83" s="107">
        <v>4.5187999999999997</v>
      </c>
      <c r="CI83" s="107">
        <v>0.44400000000000001</v>
      </c>
      <c r="CJ83" s="107">
        <v>0.13629999999999998</v>
      </c>
      <c r="CK83" s="107">
        <v>0.21280000000000002</v>
      </c>
      <c r="CL83" s="107">
        <v>0.44840000000000002</v>
      </c>
      <c r="CM83" s="107">
        <v>0.33660000000000001</v>
      </c>
      <c r="CN83" s="107">
        <v>8.4000000000000005E-2</v>
      </c>
      <c r="CO83" s="107">
        <v>0.186</v>
      </c>
      <c r="CP83" s="107">
        <v>0.28520000000000001</v>
      </c>
      <c r="CQ83" s="107">
        <v>0.57079999999999997</v>
      </c>
      <c r="CR83" s="107">
        <v>0.18330000000000002</v>
      </c>
      <c r="CS83" s="107">
        <v>4.41E-2</v>
      </c>
      <c r="CT83" s="107">
        <v>0.255</v>
      </c>
      <c r="CU83" s="107"/>
      <c r="CV83" s="107">
        <v>6.7011749999999992</v>
      </c>
      <c r="CW83" s="107">
        <f t="shared" si="56"/>
        <v>0.49199999999999994</v>
      </c>
      <c r="CX83" s="107">
        <f t="shared" si="57"/>
        <v>0.16239999999999999</v>
      </c>
      <c r="CY83" s="107">
        <f t="shared" si="58"/>
        <v>0.25459999999999999</v>
      </c>
      <c r="CZ83" s="107">
        <f t="shared" si="59"/>
        <v>0.51680000000000004</v>
      </c>
      <c r="DA83" s="107">
        <f t="shared" si="60"/>
        <v>0.38280000000000003</v>
      </c>
      <c r="DB83" s="107">
        <f t="shared" si="61"/>
        <v>9.8000000000000004E-2</v>
      </c>
      <c r="DC83" s="107">
        <f t="shared" si="78"/>
        <v>0.22400000000000003</v>
      </c>
      <c r="DD83" s="107">
        <f t="shared" si="65"/>
        <v>0.32660000000000006</v>
      </c>
      <c r="DE83" s="107">
        <f t="shared" si="64"/>
        <v>0.64790000000000014</v>
      </c>
      <c r="DF83" s="107">
        <f t="shared" si="66"/>
        <v>0.24179999999999999</v>
      </c>
      <c r="DG83" s="107">
        <f t="shared" si="67"/>
        <v>5.5800000000000002E-2</v>
      </c>
      <c r="DH83" s="107">
        <f t="shared" si="68"/>
        <v>0.31109999999999999</v>
      </c>
      <c r="DI83" s="107"/>
      <c r="DJ83" s="107"/>
      <c r="DK83" s="107"/>
      <c r="DL83" s="107"/>
      <c r="DM83" s="107"/>
      <c r="DN83" s="107"/>
      <c r="DO83" s="107"/>
      <c r="DP83" s="107"/>
      <c r="DQ83">
        <f t="shared" si="69"/>
        <v>2.4E-2</v>
      </c>
      <c r="DR83">
        <f t="shared" si="70"/>
        <v>3.9599999999999996E-2</v>
      </c>
      <c r="DS83">
        <f t="shared" si="79"/>
        <v>0</v>
      </c>
      <c r="DT83">
        <f t="shared" si="80"/>
        <v>0</v>
      </c>
      <c r="DU83"/>
      <c r="DV83" s="32"/>
      <c r="DW83" s="54">
        <f t="shared" si="81"/>
        <v>96</v>
      </c>
      <c r="DX83" s="33">
        <v>4.8000000000000001E-2</v>
      </c>
      <c r="DY83" s="34"/>
      <c r="DZ83" s="34"/>
      <c r="EA83" s="35">
        <v>0.14000000000000001</v>
      </c>
      <c r="EB83" s="36">
        <f t="shared" si="71"/>
        <v>1.6800000000000002E-2</v>
      </c>
      <c r="EC83" s="125">
        <f>0.59*K83</f>
        <v>0.7611</v>
      </c>
      <c r="ED83" s="80">
        <v>0</v>
      </c>
      <c r="EE83" s="81">
        <v>0</v>
      </c>
      <c r="EF83" s="81"/>
      <c r="EG83" s="390">
        <v>0.08</v>
      </c>
      <c r="EH83" s="126">
        <f>125*K83/10</f>
        <v>16.125</v>
      </c>
      <c r="EI83" s="38">
        <f t="shared" si="90"/>
        <v>12.600000000000001</v>
      </c>
      <c r="EJ83" s="37"/>
      <c r="EK83" s="37"/>
      <c r="EL83" s="37"/>
      <c r="EM83" s="37"/>
      <c r="EN83" s="37"/>
      <c r="EO83" s="37"/>
      <c r="EP83" s="37"/>
      <c r="EQ83" s="37"/>
      <c r="ER83" s="37"/>
      <c r="ES83" s="37"/>
      <c r="ET83" s="37"/>
      <c r="EU83" s="37"/>
      <c r="EV83" s="37"/>
      <c r="EW83" s="37"/>
      <c r="EX83" s="37"/>
      <c r="EY83" s="37"/>
      <c r="EZ83" s="37"/>
      <c r="FA83" s="37"/>
      <c r="FB83" s="37"/>
      <c r="FC83" s="37"/>
      <c r="FD83" s="37"/>
      <c r="FE83" s="37"/>
      <c r="FF83" s="37"/>
      <c r="FG83" s="37"/>
      <c r="FH83" s="37"/>
      <c r="FI83" s="37">
        <v>54.95</v>
      </c>
      <c r="FJ83" s="37">
        <v>7.92</v>
      </c>
      <c r="FK83" s="47">
        <f t="shared" si="72"/>
        <v>0.81102300000000005</v>
      </c>
      <c r="FL83" s="37"/>
      <c r="FM83" s="48">
        <f t="shared" si="73"/>
        <v>0.60197368421052622</v>
      </c>
      <c r="FN83" s="48">
        <f t="shared" si="74"/>
        <v>0.49264705882352938</v>
      </c>
      <c r="FO83" s="142">
        <f t="shared" si="75"/>
        <v>1.2219167321288296</v>
      </c>
      <c r="FP83" s="142">
        <f t="shared" si="76"/>
        <v>0.10797213622291021</v>
      </c>
      <c r="FQ83" s="180">
        <f t="shared" si="77"/>
        <v>5.0321324245374881E-2</v>
      </c>
    </row>
    <row r="84" spans="1:173" ht="12.75" customHeight="1" x14ac:dyDescent="0.15">
      <c r="A84" s="134">
        <v>75</v>
      </c>
      <c r="B84" t="s">
        <v>287</v>
      </c>
      <c r="C84">
        <v>4605</v>
      </c>
      <c r="D84">
        <v>4260</v>
      </c>
      <c r="E84">
        <v>3817</v>
      </c>
      <c r="F84">
        <v>2376</v>
      </c>
      <c r="H84">
        <v>92.64</v>
      </c>
      <c r="I84">
        <v>65.2</v>
      </c>
      <c r="J84">
        <v>3.42</v>
      </c>
      <c r="K84">
        <v>1.05</v>
      </c>
      <c r="L84">
        <v>0.65</v>
      </c>
      <c r="M84">
        <v>6.11</v>
      </c>
      <c r="O84">
        <v>0.67</v>
      </c>
      <c r="P84">
        <v>0.46</v>
      </c>
      <c r="Q84">
        <v>0.91</v>
      </c>
      <c r="S84">
        <v>2.46</v>
      </c>
      <c r="T84">
        <v>1.89</v>
      </c>
      <c r="U84">
        <v>8.1</v>
      </c>
      <c r="V84">
        <v>4.42</v>
      </c>
      <c r="X84">
        <v>18.87</v>
      </c>
      <c r="AB84">
        <v>17.719999999999995</v>
      </c>
      <c r="AC84">
        <v>88</v>
      </c>
      <c r="AD84" s="136">
        <v>44.399900000000002</v>
      </c>
      <c r="AF84">
        <v>4.75</v>
      </c>
      <c r="AG84">
        <v>1.7</v>
      </c>
      <c r="AH84">
        <v>2.99</v>
      </c>
      <c r="AI84">
        <v>5.16</v>
      </c>
      <c r="AJ84">
        <v>4.09</v>
      </c>
      <c r="AK84">
        <v>0.87</v>
      </c>
      <c r="AL84">
        <v>3.38</v>
      </c>
      <c r="AM84">
        <v>2.52</v>
      </c>
      <c r="AN84">
        <v>0.81</v>
      </c>
      <c r="AO84">
        <v>3.14</v>
      </c>
      <c r="AP84">
        <v>2.82</v>
      </c>
      <c r="AQ84">
        <v>7.58</v>
      </c>
      <c r="AR84">
        <v>0.9</v>
      </c>
      <c r="AS84">
        <v>12.02</v>
      </c>
      <c r="AT84">
        <v>2.75</v>
      </c>
      <c r="AU84">
        <v>3.58</v>
      </c>
      <c r="AV84">
        <v>3.33</v>
      </c>
      <c r="AW84">
        <v>2.2599999999999998</v>
      </c>
      <c r="AY84">
        <v>89</v>
      </c>
      <c r="AZ84">
        <v>95</v>
      </c>
      <c r="BA84">
        <v>91</v>
      </c>
      <c r="BB84">
        <v>91</v>
      </c>
      <c r="BC84">
        <v>91</v>
      </c>
      <c r="BD84">
        <v>91</v>
      </c>
      <c r="BE84">
        <v>92</v>
      </c>
      <c r="BF84">
        <v>90</v>
      </c>
      <c r="BG84">
        <v>86</v>
      </c>
      <c r="BH84">
        <v>88</v>
      </c>
      <c r="BI84">
        <v>90</v>
      </c>
      <c r="BJ84">
        <v>89</v>
      </c>
      <c r="BK84">
        <v>88</v>
      </c>
      <c r="BL84">
        <v>79</v>
      </c>
      <c r="BM84">
        <v>91</v>
      </c>
      <c r="BN84">
        <v>88</v>
      </c>
      <c r="BO84">
        <v>102</v>
      </c>
      <c r="BP84">
        <v>91</v>
      </c>
      <c r="BQ84">
        <v>93</v>
      </c>
      <c r="BS84">
        <v>0.32</v>
      </c>
      <c r="BX84">
        <v>0.82</v>
      </c>
      <c r="CB84">
        <v>39</v>
      </c>
      <c r="CC84">
        <v>48</v>
      </c>
      <c r="CF84" s="4">
        <v>15.593599999999997</v>
      </c>
      <c r="CH84" s="107">
        <v>55.42</v>
      </c>
      <c r="CI84" s="107">
        <v>4.4175000000000004</v>
      </c>
      <c r="CJ84" s="107">
        <v>1.5129999999999999</v>
      </c>
      <c r="CK84" s="107">
        <v>2.6611000000000002</v>
      </c>
      <c r="CL84" s="107">
        <v>4.5924000000000005</v>
      </c>
      <c r="CM84" s="107">
        <v>3.6400999999999999</v>
      </c>
      <c r="CN84" s="107">
        <v>0.78299999999999992</v>
      </c>
      <c r="CO84" s="107">
        <v>1.458</v>
      </c>
      <c r="CP84" s="107">
        <v>2.9744000000000002</v>
      </c>
      <c r="CQ84" s="107">
        <v>4.9858000000000002</v>
      </c>
      <c r="CR84" s="107">
        <v>2.0664000000000002</v>
      </c>
      <c r="CS84" s="107">
        <v>0.68850000000000011</v>
      </c>
      <c r="CT84" s="107">
        <v>2.7318000000000002</v>
      </c>
      <c r="CU84" s="107"/>
      <c r="CV84" s="107">
        <v>58.027999999999999</v>
      </c>
      <c r="CW84" s="107">
        <f t="shared" si="56"/>
        <v>4.5125000000000002</v>
      </c>
      <c r="CX84" s="107">
        <f t="shared" si="57"/>
        <v>1.5469999999999999</v>
      </c>
      <c r="CY84" s="107">
        <f t="shared" si="58"/>
        <v>2.7209000000000003</v>
      </c>
      <c r="CZ84" s="107">
        <f t="shared" si="59"/>
        <v>4.6955999999999998</v>
      </c>
      <c r="DA84" s="107">
        <f t="shared" si="60"/>
        <v>3.7218999999999998</v>
      </c>
      <c r="DB84" s="107">
        <f t="shared" si="61"/>
        <v>0.80040000000000011</v>
      </c>
      <c r="DC84" s="107">
        <f t="shared" si="78"/>
        <v>1.5114000000000001</v>
      </c>
      <c r="DD84" s="107">
        <f t="shared" si="65"/>
        <v>3.0419999999999998</v>
      </c>
      <c r="DE84" s="107">
        <f t="shared" si="64"/>
        <v>5.1437999999999997</v>
      </c>
      <c r="DF84" s="107">
        <f t="shared" si="66"/>
        <v>2.1671999999999998</v>
      </c>
      <c r="DG84" s="107">
        <f t="shared" si="67"/>
        <v>0.71279999999999999</v>
      </c>
      <c r="DH84" s="107">
        <f t="shared" si="68"/>
        <v>2.8260000000000001</v>
      </c>
      <c r="DI84" s="107"/>
      <c r="DJ84" s="107"/>
      <c r="DK84" s="107"/>
      <c r="DL84" s="107"/>
      <c r="DM84" s="107"/>
      <c r="DN84" s="107"/>
      <c r="DO84" s="107"/>
      <c r="DP84" s="107"/>
      <c r="DQ84">
        <f t="shared" si="69"/>
        <v>0.31979999999999997</v>
      </c>
      <c r="DR84">
        <f t="shared" si="70"/>
        <v>0.39360000000000001</v>
      </c>
      <c r="DS84">
        <f t="shared" si="79"/>
        <v>0</v>
      </c>
      <c r="DT84">
        <f t="shared" si="80"/>
        <v>0</v>
      </c>
      <c r="DU84"/>
      <c r="DV84" s="32"/>
      <c r="DW84" s="54">
        <f t="shared" si="81"/>
        <v>1100</v>
      </c>
      <c r="DX84" s="33">
        <v>0.55000000000000004</v>
      </c>
      <c r="DY84" s="34"/>
      <c r="DZ84" s="34"/>
      <c r="EA84" s="35">
        <v>0.23</v>
      </c>
      <c r="EB84" s="36">
        <f t="shared" si="71"/>
        <v>0.18859999999999999</v>
      </c>
      <c r="EC84" s="68">
        <f>K84*0.51</f>
        <v>0.53550000000000009</v>
      </c>
      <c r="ED84" s="80">
        <v>0</v>
      </c>
      <c r="EE84" s="81">
        <v>0</v>
      </c>
      <c r="EF84" s="81"/>
      <c r="EG84" s="390">
        <v>0.39</v>
      </c>
      <c r="EH84" s="126">
        <f>130*K84/10</f>
        <v>13.65</v>
      </c>
      <c r="EI84" s="38">
        <f t="shared" si="90"/>
        <v>71.100000000000009</v>
      </c>
      <c r="EJ84" s="37"/>
      <c r="EK84" s="37"/>
      <c r="EL84" s="37"/>
      <c r="EM84" s="37"/>
      <c r="EN84" s="37"/>
      <c r="EO84" s="37"/>
      <c r="EP84" s="37"/>
      <c r="EQ84" s="37"/>
      <c r="ER84" s="37"/>
      <c r="ES84" s="37"/>
      <c r="ET84" s="37"/>
      <c r="EU84" s="37"/>
      <c r="EV84" s="37"/>
      <c r="EW84" s="37"/>
      <c r="EX84" s="37"/>
      <c r="EY84" s="37"/>
      <c r="EZ84" s="37"/>
      <c r="FA84" s="37"/>
      <c r="FB84" s="37"/>
      <c r="FC84" s="37"/>
      <c r="FD84" s="37"/>
      <c r="FE84" s="37"/>
      <c r="FF84" s="37"/>
      <c r="FG84" s="37"/>
      <c r="FH84" s="37"/>
      <c r="FI84" s="37">
        <v>55.05</v>
      </c>
      <c r="FJ84" s="37">
        <v>7.34</v>
      </c>
      <c r="FK84" s="47">
        <f t="shared" si="72"/>
        <v>0.65509499999999998</v>
      </c>
      <c r="FL84" s="37"/>
      <c r="FM84" s="48">
        <f t="shared" si="73"/>
        <v>0.60184002044467166</v>
      </c>
      <c r="FN84" s="48">
        <f t="shared" si="74"/>
        <v>0.57945736434108541</v>
      </c>
      <c r="FO84" s="142">
        <f t="shared" si="75"/>
        <v>1.0386269249145503</v>
      </c>
      <c r="FP84" s="142">
        <f t="shared" si="76"/>
        <v>0.15180168668540761</v>
      </c>
      <c r="FQ84" s="180">
        <f t="shared" si="77"/>
        <v>7.2018404907975453E-2</v>
      </c>
    </row>
    <row r="85" spans="1:173" ht="12.75" customHeight="1" x14ac:dyDescent="0.15">
      <c r="A85" s="134">
        <v>76</v>
      </c>
      <c r="B85" t="s">
        <v>288</v>
      </c>
      <c r="C85">
        <v>5386</v>
      </c>
      <c r="D85">
        <v>4150</v>
      </c>
      <c r="E85">
        <v>3573</v>
      </c>
      <c r="F85">
        <v>2187</v>
      </c>
      <c r="H85">
        <v>93.71</v>
      </c>
      <c r="I85">
        <v>84.78</v>
      </c>
      <c r="J85">
        <v>0.17</v>
      </c>
      <c r="K85">
        <v>2.76</v>
      </c>
      <c r="M85">
        <v>4.17</v>
      </c>
      <c r="O85">
        <v>0.13</v>
      </c>
      <c r="S85">
        <v>0.37</v>
      </c>
      <c r="T85">
        <v>1.89</v>
      </c>
      <c r="U85">
        <v>0.19</v>
      </c>
      <c r="V85">
        <v>0</v>
      </c>
      <c r="AB85">
        <v>0</v>
      </c>
      <c r="AC85">
        <v>0</v>
      </c>
      <c r="AD85" s="136">
        <v>47.917200000000008</v>
      </c>
      <c r="AF85">
        <v>6.14</v>
      </c>
      <c r="AG85">
        <v>2.19</v>
      </c>
      <c r="AH85">
        <v>3.83</v>
      </c>
      <c r="AI85">
        <v>6.76</v>
      </c>
      <c r="AJ85">
        <v>5.19</v>
      </c>
      <c r="AK85">
        <v>1.1100000000000001</v>
      </c>
      <c r="AL85">
        <v>4.4000000000000004</v>
      </c>
      <c r="AM85">
        <v>3.09</v>
      </c>
      <c r="AN85">
        <v>1.1299999999999999</v>
      </c>
      <c r="AO85">
        <v>4.0199999999999996</v>
      </c>
      <c r="AR85">
        <v>0.98</v>
      </c>
      <c r="AW85">
        <v>3.08</v>
      </c>
      <c r="AY85">
        <v>89</v>
      </c>
      <c r="AZ85">
        <v>94</v>
      </c>
      <c r="BA85">
        <v>88</v>
      </c>
      <c r="BB85">
        <v>88</v>
      </c>
      <c r="BC85">
        <v>89</v>
      </c>
      <c r="BD85">
        <v>91</v>
      </c>
      <c r="BE85">
        <v>86</v>
      </c>
      <c r="BF85">
        <v>88</v>
      </c>
      <c r="BG85">
        <v>83</v>
      </c>
      <c r="BH85">
        <v>87</v>
      </c>
      <c r="BI85">
        <v>86</v>
      </c>
      <c r="BL85">
        <v>79</v>
      </c>
      <c r="BQ85">
        <v>88</v>
      </c>
      <c r="BS85">
        <v>0.17</v>
      </c>
      <c r="BT85">
        <v>0.02</v>
      </c>
      <c r="BU85">
        <v>0.16</v>
      </c>
      <c r="BV85">
        <v>0.05</v>
      </c>
      <c r="BW85">
        <v>1.1399999999999999</v>
      </c>
      <c r="BX85">
        <v>0.75</v>
      </c>
      <c r="CB85">
        <v>39</v>
      </c>
      <c r="CC85">
        <v>48</v>
      </c>
      <c r="CF85" s="4">
        <v>0</v>
      </c>
      <c r="CH85" s="107">
        <v>71.21520000000001</v>
      </c>
      <c r="CI85" s="107">
        <v>5.7101999999999995</v>
      </c>
      <c r="CJ85" s="107">
        <v>1.8834</v>
      </c>
      <c r="CK85" s="107">
        <v>3.2938000000000001</v>
      </c>
      <c r="CL85" s="107">
        <v>5.9488000000000003</v>
      </c>
      <c r="CM85" s="107">
        <v>4.6710000000000003</v>
      </c>
      <c r="CN85" s="107">
        <v>0.93240000000000012</v>
      </c>
      <c r="CO85" s="107">
        <v>1.6576</v>
      </c>
      <c r="CP85" s="107">
        <v>3.8280000000000003</v>
      </c>
      <c r="CQ85" s="107">
        <v>6.4768000000000008</v>
      </c>
      <c r="CR85" s="107">
        <v>2.4411</v>
      </c>
      <c r="CS85" s="107">
        <v>0.94919999999999982</v>
      </c>
      <c r="CT85" s="107">
        <v>3.3365999999999998</v>
      </c>
      <c r="CU85" s="107"/>
      <c r="CV85" s="107">
        <v>75.4542</v>
      </c>
      <c r="CW85" s="107">
        <f t="shared" si="56"/>
        <v>5.7715999999999994</v>
      </c>
      <c r="CX85" s="107">
        <f t="shared" si="57"/>
        <v>1.9272</v>
      </c>
      <c r="CY85" s="107">
        <f t="shared" si="58"/>
        <v>3.3704000000000001</v>
      </c>
      <c r="CZ85" s="107">
        <f t="shared" si="59"/>
        <v>6.0164</v>
      </c>
      <c r="DA85" s="107">
        <f t="shared" si="60"/>
        <v>4.7229000000000001</v>
      </c>
      <c r="DB85" s="107">
        <f t="shared" si="61"/>
        <v>0.95460000000000012</v>
      </c>
      <c r="DC85" s="107">
        <f t="shared" si="78"/>
        <v>1.7287999999999999</v>
      </c>
      <c r="DD85" s="107">
        <f t="shared" si="65"/>
        <v>3.8720000000000003</v>
      </c>
      <c r="DE85" s="107">
        <f t="shared" si="64"/>
        <v>6.5824000000000007</v>
      </c>
      <c r="DF85" s="107">
        <f t="shared" si="66"/>
        <v>2.5646999999999998</v>
      </c>
      <c r="DG85" s="107">
        <f t="shared" si="67"/>
        <v>0.98309999999999986</v>
      </c>
      <c r="DH85" s="107">
        <f t="shared" si="68"/>
        <v>3.4571999999999998</v>
      </c>
      <c r="DI85" s="107"/>
      <c r="DJ85" s="107"/>
      <c r="DK85" s="107"/>
      <c r="DL85" s="107"/>
      <c r="DM85" s="107"/>
      <c r="DN85" s="107"/>
      <c r="DO85" s="107"/>
      <c r="DP85" s="107"/>
      <c r="DQ85">
        <f t="shared" si="69"/>
        <v>0.29249999999999998</v>
      </c>
      <c r="DR85">
        <f t="shared" si="70"/>
        <v>0.36</v>
      </c>
      <c r="DS85">
        <f t="shared" si="79"/>
        <v>0</v>
      </c>
      <c r="DT85">
        <f t="shared" si="80"/>
        <v>0</v>
      </c>
      <c r="DU85"/>
      <c r="DV85" s="32"/>
      <c r="DW85" s="54">
        <f t="shared" si="81"/>
        <v>350</v>
      </c>
      <c r="DX85" s="33">
        <v>0.17499999999999999</v>
      </c>
      <c r="DY85" s="79">
        <v>0</v>
      </c>
      <c r="DZ85" s="79">
        <v>0</v>
      </c>
      <c r="EA85" s="35">
        <v>1</v>
      </c>
      <c r="EB85" s="36">
        <f t="shared" si="71"/>
        <v>0.75</v>
      </c>
      <c r="EC85" s="80">
        <v>0</v>
      </c>
      <c r="ED85" s="80">
        <v>0</v>
      </c>
      <c r="EE85" s="80">
        <v>0</v>
      </c>
      <c r="EF85" s="383"/>
      <c r="EG85" s="392">
        <f>BX86*0.662</f>
        <v>5.9580000000000001E-2</v>
      </c>
      <c r="EH85" s="80">
        <v>0</v>
      </c>
      <c r="EI85" s="38">
        <f t="shared" si="90"/>
        <v>77.42</v>
      </c>
      <c r="EJ85" s="37"/>
      <c r="EK85" s="37"/>
      <c r="EL85" s="37"/>
      <c r="EM85" s="37"/>
      <c r="EN85" s="37"/>
      <c r="EO85" s="37"/>
      <c r="EP85" s="37"/>
      <c r="EQ85" s="37"/>
      <c r="ER85" s="37"/>
      <c r="ES85" s="37"/>
      <c r="ET85" s="37"/>
      <c r="EU85" s="37"/>
      <c r="EV85" s="37"/>
      <c r="EW85" s="37"/>
      <c r="EX85" s="37"/>
      <c r="EY85" s="37"/>
      <c r="EZ85" s="37"/>
      <c r="FA85" s="37"/>
      <c r="FB85" s="37"/>
      <c r="FC85" s="37"/>
      <c r="FD85" s="37"/>
      <c r="FE85" s="37"/>
      <c r="FF85" s="37"/>
      <c r="FG85" s="37"/>
      <c r="FH85" s="37"/>
      <c r="FI85" s="37">
        <v>55.05</v>
      </c>
      <c r="FJ85" s="37">
        <v>7.34</v>
      </c>
      <c r="FK85" s="47">
        <f t="shared" si="72"/>
        <v>1.7219639999999998</v>
      </c>
      <c r="FL85" s="37"/>
      <c r="FM85" s="48">
        <f t="shared" si="73"/>
        <v>0.57462934645302832</v>
      </c>
      <c r="FN85" s="48">
        <f t="shared" si="74"/>
        <v>0.56020211422112898</v>
      </c>
      <c r="FO85" s="142">
        <f t="shared" si="75"/>
        <v>1.0257536197483978</v>
      </c>
      <c r="FP85" s="142">
        <f t="shared" si="76"/>
        <v>0.16340336413802273</v>
      </c>
      <c r="FQ85" s="180">
        <f t="shared" si="77"/>
        <v>7.0964850200518986E-2</v>
      </c>
    </row>
    <row r="86" spans="1:173" ht="12.75" customHeight="1" x14ac:dyDescent="0.15">
      <c r="A86" s="134">
        <v>77</v>
      </c>
      <c r="B86" t="s">
        <v>289</v>
      </c>
      <c r="C86">
        <v>4039</v>
      </c>
      <c r="D86">
        <v>2865</v>
      </c>
      <c r="E86">
        <v>2803</v>
      </c>
      <c r="F86">
        <v>1734</v>
      </c>
      <c r="H86">
        <v>87.6</v>
      </c>
      <c r="I86">
        <v>9.1</v>
      </c>
      <c r="K86">
        <v>0.97</v>
      </c>
      <c r="M86">
        <v>6.7</v>
      </c>
      <c r="T86">
        <v>0</v>
      </c>
      <c r="U86">
        <v>44.9</v>
      </c>
      <c r="V86">
        <v>23.5</v>
      </c>
      <c r="AB86">
        <v>70.83</v>
      </c>
      <c r="AC86">
        <v>85</v>
      </c>
      <c r="AD86" s="136">
        <v>37.433700000000002</v>
      </c>
      <c r="AF86">
        <v>0.32</v>
      </c>
      <c r="AG86">
        <v>0.23</v>
      </c>
      <c r="AH86">
        <v>0.31</v>
      </c>
      <c r="AI86">
        <v>0.53</v>
      </c>
      <c r="AJ86">
        <v>0.52</v>
      </c>
      <c r="AK86">
        <v>7.0000000000000007E-2</v>
      </c>
      <c r="AL86">
        <v>0.3</v>
      </c>
      <c r="AM86">
        <v>0.38</v>
      </c>
      <c r="AN86">
        <v>0.1</v>
      </c>
      <c r="AO86">
        <v>0.45</v>
      </c>
      <c r="AR86">
        <v>0.06</v>
      </c>
      <c r="AW86">
        <v>0.4</v>
      </c>
      <c r="AY86" s="23">
        <v>49.916666666666664</v>
      </c>
      <c r="AZ86">
        <v>54</v>
      </c>
      <c r="BA86">
        <v>56</v>
      </c>
      <c r="BB86">
        <v>55</v>
      </c>
      <c r="BC86">
        <v>54</v>
      </c>
      <c r="BD86">
        <v>54</v>
      </c>
      <c r="BE86">
        <v>61</v>
      </c>
      <c r="BF86">
        <v>49</v>
      </c>
      <c r="BG86">
        <v>29</v>
      </c>
      <c r="BH86">
        <v>47</v>
      </c>
      <c r="BI86">
        <v>42</v>
      </c>
      <c r="BL86">
        <v>46</v>
      </c>
      <c r="BQ86">
        <v>52</v>
      </c>
      <c r="BS86">
        <v>0.81</v>
      </c>
      <c r="BT86">
        <v>0.1</v>
      </c>
      <c r="BU86">
        <v>0.61</v>
      </c>
      <c r="BV86">
        <v>0.22</v>
      </c>
      <c r="BW86">
        <v>0.2</v>
      </c>
      <c r="BX86">
        <v>0.09</v>
      </c>
      <c r="BY86">
        <v>0.31</v>
      </c>
      <c r="CB86">
        <v>50</v>
      </c>
      <c r="CC86">
        <v>63</v>
      </c>
      <c r="CF86" s="4">
        <v>60.205500000000001</v>
      </c>
      <c r="CH86" s="107">
        <v>3.0939999999999999</v>
      </c>
      <c r="CI86" s="107">
        <v>0.14080000000000001</v>
      </c>
      <c r="CJ86" s="107">
        <v>0.10580000000000001</v>
      </c>
      <c r="CK86" s="107">
        <v>0.12709999999999999</v>
      </c>
      <c r="CL86" s="107">
        <v>0.23319999999999999</v>
      </c>
      <c r="CM86" s="107">
        <v>0.24960000000000002</v>
      </c>
      <c r="CN86" s="107">
        <v>3.6400000000000009E-2</v>
      </c>
      <c r="CO86" s="107">
        <v>5.5000000000000007E-2</v>
      </c>
      <c r="CP86" s="107">
        <v>0.114</v>
      </c>
      <c r="CQ86" s="107">
        <v>0.29800000000000004</v>
      </c>
      <c r="CR86" s="107">
        <v>6.08E-2</v>
      </c>
      <c r="CS86" s="107">
        <v>3.6000000000000004E-2</v>
      </c>
      <c r="CT86" s="107">
        <v>0.14400000000000002</v>
      </c>
      <c r="CU86" s="107"/>
      <c r="CV86" s="107">
        <v>4.5424166666666661</v>
      </c>
      <c r="CW86" s="107">
        <f t="shared" si="56"/>
        <v>0.17280000000000001</v>
      </c>
      <c r="CX86" s="107">
        <f t="shared" si="57"/>
        <v>0.1288</v>
      </c>
      <c r="CY86" s="107">
        <f t="shared" si="58"/>
        <v>0.17050000000000001</v>
      </c>
      <c r="CZ86" s="107">
        <f t="shared" si="59"/>
        <v>0.28620000000000001</v>
      </c>
      <c r="DA86" s="107">
        <f t="shared" si="60"/>
        <v>0.28079999999999999</v>
      </c>
      <c r="DB86" s="107">
        <f t="shared" si="61"/>
        <v>4.2700000000000002E-2</v>
      </c>
      <c r="DC86" s="107">
        <f t="shared" si="78"/>
        <v>7.0300000000000001E-2</v>
      </c>
      <c r="DD86" s="107">
        <f t="shared" si="65"/>
        <v>0.14699999999999999</v>
      </c>
      <c r="DE86" s="107">
        <f t="shared" si="64"/>
        <v>0.35499999999999998</v>
      </c>
      <c r="DF86" s="107">
        <f t="shared" si="66"/>
        <v>0.11019999999999999</v>
      </c>
      <c r="DG86" s="107">
        <f t="shared" si="67"/>
        <v>4.7E-2</v>
      </c>
      <c r="DH86" s="107">
        <f t="shared" si="68"/>
        <v>0.18900000000000003</v>
      </c>
      <c r="DI86" s="107"/>
      <c r="DJ86" s="107"/>
      <c r="DK86" s="107"/>
      <c r="DL86" s="107"/>
      <c r="DM86" s="107"/>
      <c r="DN86" s="107"/>
      <c r="DO86" s="107"/>
      <c r="DP86" s="107"/>
      <c r="DQ86">
        <f t="shared" si="69"/>
        <v>4.4999999999999998E-2</v>
      </c>
      <c r="DR86">
        <f t="shared" si="70"/>
        <v>5.67E-2</v>
      </c>
      <c r="DS86">
        <f t="shared" si="79"/>
        <v>0</v>
      </c>
      <c r="DT86">
        <f t="shared" si="80"/>
        <v>0</v>
      </c>
      <c r="DU86"/>
      <c r="DV86" s="32"/>
      <c r="DW86" s="54">
        <f t="shared" si="81"/>
        <v>400</v>
      </c>
      <c r="DX86" s="33">
        <v>0.2</v>
      </c>
      <c r="DY86" s="79">
        <v>0</v>
      </c>
      <c r="DZ86" s="79">
        <v>0</v>
      </c>
      <c r="EA86" s="35">
        <v>1</v>
      </c>
      <c r="EB86" s="36">
        <f t="shared" si="71"/>
        <v>0.09</v>
      </c>
      <c r="EC86" s="80">
        <v>0</v>
      </c>
      <c r="ED86" s="80">
        <v>0</v>
      </c>
      <c r="EE86" s="80">
        <v>0</v>
      </c>
      <c r="EF86" s="383"/>
      <c r="EG86" s="392">
        <v>0.04</v>
      </c>
      <c r="EH86" s="80">
        <v>0</v>
      </c>
      <c r="EI86" s="38">
        <f t="shared" si="90"/>
        <v>2.76</v>
      </c>
      <c r="EJ86" s="37"/>
      <c r="EK86" s="37"/>
      <c r="EL86" s="37"/>
      <c r="EM86" s="37"/>
      <c r="EN86" s="37"/>
      <c r="EO86" s="37"/>
      <c r="EP86" s="37"/>
      <c r="EQ86" s="37"/>
      <c r="ER86" s="37"/>
      <c r="ES86" s="37"/>
      <c r="ET86" s="37"/>
      <c r="EU86" s="37"/>
      <c r="EV86" s="37"/>
      <c r="EW86" s="37"/>
      <c r="EX86" s="37"/>
      <c r="EY86" s="37"/>
      <c r="EZ86" s="37"/>
      <c r="FA86" s="37"/>
      <c r="FB86" s="37"/>
      <c r="FC86" s="37"/>
      <c r="FD86" s="37"/>
      <c r="FE86" s="37"/>
      <c r="FF86" s="37"/>
      <c r="FG86" s="37"/>
      <c r="FH86" s="37"/>
      <c r="FI86" s="37"/>
      <c r="FJ86" s="37"/>
      <c r="FK86" s="47"/>
      <c r="FL86" s="37"/>
      <c r="FM86" s="48">
        <f t="shared" si="73"/>
        <v>0.66037735849056611</v>
      </c>
      <c r="FN86" s="48">
        <f t="shared" si="74"/>
        <v>0.59573724668064298</v>
      </c>
      <c r="FO86" s="142">
        <f t="shared" si="75"/>
        <v>1.1085043988269796</v>
      </c>
      <c r="FP86" s="142">
        <f t="shared" si="76"/>
        <v>0.16422082459818307</v>
      </c>
      <c r="FQ86" s="180">
        <f t="shared" si="77"/>
        <v>3.1450549450549453E-2</v>
      </c>
    </row>
    <row r="87" spans="1:173" ht="12.75" customHeight="1" x14ac:dyDescent="0.15">
      <c r="A87" s="134">
        <v>78</v>
      </c>
      <c r="B87" t="s">
        <v>290</v>
      </c>
      <c r="C87">
        <v>6163</v>
      </c>
      <c r="D87">
        <v>4517</v>
      </c>
      <c r="E87">
        <v>4404</v>
      </c>
      <c r="F87">
        <v>3561</v>
      </c>
      <c r="H87">
        <v>96.83</v>
      </c>
      <c r="I87">
        <v>16.600000000000001</v>
      </c>
      <c r="J87">
        <v>13.1</v>
      </c>
      <c r="K87">
        <v>42.69</v>
      </c>
      <c r="M87">
        <v>3.25</v>
      </c>
      <c r="T87">
        <v>2.04</v>
      </c>
      <c r="U87">
        <v>23.23</v>
      </c>
      <c r="V87">
        <v>16.93</v>
      </c>
      <c r="W87">
        <v>4.5199999999999996</v>
      </c>
      <c r="AB87">
        <v>32.249999999999993</v>
      </c>
      <c r="AC87">
        <v>33</v>
      </c>
      <c r="AD87" s="136">
        <v>56.652499999999996</v>
      </c>
      <c r="AF87">
        <v>1.72</v>
      </c>
      <c r="AG87">
        <v>0.55000000000000004</v>
      </c>
      <c r="AH87">
        <v>0.9</v>
      </c>
      <c r="AI87">
        <v>1.36</v>
      </c>
      <c r="AJ87">
        <v>0.54</v>
      </c>
      <c r="AK87">
        <v>0.39</v>
      </c>
      <c r="AL87">
        <v>1.02</v>
      </c>
      <c r="AM87">
        <v>0.85</v>
      </c>
      <c r="AO87">
        <v>0.94</v>
      </c>
      <c r="AR87">
        <v>0.24</v>
      </c>
      <c r="AW87">
        <v>0.55000000000000004</v>
      </c>
      <c r="AY87" s="23">
        <v>81.454545454545453</v>
      </c>
      <c r="AZ87">
        <v>89</v>
      </c>
      <c r="BA87">
        <v>84</v>
      </c>
      <c r="BB87">
        <v>81</v>
      </c>
      <c r="BC87">
        <v>83</v>
      </c>
      <c r="BD87">
        <v>77</v>
      </c>
      <c r="BE87">
        <v>85</v>
      </c>
      <c r="BF87">
        <v>84</v>
      </c>
      <c r="BG87">
        <v>76</v>
      </c>
      <c r="BI87">
        <v>78</v>
      </c>
      <c r="BL87">
        <v>73</v>
      </c>
      <c r="BQ87">
        <v>86</v>
      </c>
      <c r="BS87">
        <v>0.3</v>
      </c>
      <c r="BX87">
        <v>0.2</v>
      </c>
      <c r="CB87">
        <v>20</v>
      </c>
      <c r="CC87">
        <v>29</v>
      </c>
      <c r="CF87" s="4">
        <v>10.642499999999998</v>
      </c>
      <c r="CH87" s="107">
        <v>0</v>
      </c>
      <c r="CI87" s="107">
        <v>0</v>
      </c>
      <c r="CJ87" s="107">
        <v>0</v>
      </c>
      <c r="CK87" s="107">
        <v>0</v>
      </c>
      <c r="CL87" s="107">
        <v>0</v>
      </c>
      <c r="CM87" s="107">
        <v>0</v>
      </c>
      <c r="CN87" s="107">
        <v>0</v>
      </c>
      <c r="CO87" s="107">
        <v>0</v>
      </c>
      <c r="CP87" s="107">
        <v>0</v>
      </c>
      <c r="CQ87" s="107">
        <v>0</v>
      </c>
      <c r="CR87" s="107">
        <v>0</v>
      </c>
      <c r="CS87" s="107">
        <v>0</v>
      </c>
      <c r="CT87" s="107">
        <v>0</v>
      </c>
      <c r="CU87" s="107"/>
      <c r="CV87" s="107">
        <v>13.521454545454546</v>
      </c>
      <c r="CW87" s="107">
        <f t="shared" si="56"/>
        <v>1.5307999999999999</v>
      </c>
      <c r="CX87" s="107">
        <f t="shared" si="57"/>
        <v>0.46200000000000002</v>
      </c>
      <c r="CY87" s="107">
        <f t="shared" si="58"/>
        <v>0.72900000000000009</v>
      </c>
      <c r="CZ87" s="107">
        <f t="shared" si="59"/>
        <v>1.1288</v>
      </c>
      <c r="DA87" s="107">
        <f t="shared" si="60"/>
        <v>0.41580000000000006</v>
      </c>
      <c r="DB87" s="107">
        <f t="shared" si="61"/>
        <v>0.33149999999999996</v>
      </c>
      <c r="DC87" s="107">
        <f t="shared" si="78"/>
        <v>0.50670000000000004</v>
      </c>
      <c r="DD87" s="107">
        <f t="shared" si="65"/>
        <v>0.85680000000000012</v>
      </c>
      <c r="DE87" s="107">
        <f t="shared" si="64"/>
        <v>1.3298000000000001</v>
      </c>
      <c r="DF87" s="107">
        <f t="shared" si="66"/>
        <v>0.64599999999999991</v>
      </c>
      <c r="DG87" s="107">
        <f t="shared" si="67"/>
        <v>0</v>
      </c>
      <c r="DH87" s="107">
        <f t="shared" si="68"/>
        <v>0.73319999999999996</v>
      </c>
      <c r="DI87" s="107"/>
      <c r="DJ87" s="107"/>
      <c r="DK87" s="107"/>
      <c r="DL87" s="107"/>
      <c r="DM87" s="107"/>
      <c r="DN87" s="107"/>
      <c r="DO87" s="107"/>
      <c r="DP87" s="107"/>
      <c r="DQ87">
        <f t="shared" si="69"/>
        <v>0.04</v>
      </c>
      <c r="DR87">
        <f t="shared" si="70"/>
        <v>5.800000000000001E-2</v>
      </c>
      <c r="DS87">
        <f t="shared" si="79"/>
        <v>0</v>
      </c>
      <c r="DT87">
        <f t="shared" si="80"/>
        <v>0</v>
      </c>
      <c r="DU87"/>
      <c r="DV87" s="32"/>
      <c r="DW87" s="54">
        <f t="shared" si="81"/>
        <v>0</v>
      </c>
      <c r="DX87" s="33">
        <v>0</v>
      </c>
      <c r="DY87" s="79"/>
      <c r="DZ87" s="79"/>
      <c r="EA87" s="35"/>
      <c r="EB87" s="36">
        <f t="shared" si="71"/>
        <v>0</v>
      </c>
      <c r="EC87" s="80"/>
      <c r="ED87" s="80"/>
      <c r="EE87" s="80"/>
      <c r="EF87" s="383"/>
      <c r="EG87" s="392">
        <v>0.51</v>
      </c>
      <c r="EH87" s="80"/>
      <c r="EI87" s="38">
        <f t="shared" si="90"/>
        <v>17.52</v>
      </c>
      <c r="EJ87" s="37"/>
      <c r="EK87" s="37"/>
      <c r="EL87" s="37"/>
      <c r="EM87" s="37"/>
      <c r="EN87" s="37"/>
      <c r="EO87" s="37"/>
      <c r="EP87" s="37"/>
      <c r="EQ87" s="37"/>
      <c r="ER87" s="37"/>
      <c r="ES87" s="37"/>
      <c r="ET87" s="37"/>
      <c r="EU87" s="37"/>
      <c r="EV87" s="37"/>
      <c r="EW87" s="37"/>
      <c r="EX87" s="37"/>
      <c r="EY87" s="37"/>
      <c r="EZ87" s="37"/>
      <c r="FA87" s="37"/>
      <c r="FB87" s="37"/>
      <c r="FC87" s="37"/>
      <c r="FD87" s="37"/>
      <c r="FE87" s="37"/>
      <c r="FF87" s="37"/>
      <c r="FG87" s="37"/>
      <c r="FH87" s="37"/>
      <c r="FI87" s="37"/>
      <c r="FJ87" s="37"/>
      <c r="FK87" s="47"/>
      <c r="FL87" s="37"/>
      <c r="FM87" s="48">
        <f t="shared" si="73"/>
        <v>0.64953933380581141</v>
      </c>
      <c r="FN87" s="48">
        <f t="shared" si="74"/>
        <v>0.64581856839121199</v>
      </c>
      <c r="FO87" s="142">
        <f t="shared" si="75"/>
        <v>1.0057613168724278</v>
      </c>
      <c r="FP87" s="142">
        <f t="shared" si="76"/>
        <v>0</v>
      </c>
      <c r="FQ87" s="180">
        <f t="shared" si="77"/>
        <v>6.7999999999999991E-2</v>
      </c>
    </row>
    <row r="88" spans="1:173" ht="12.75" customHeight="1" x14ac:dyDescent="0.15">
      <c r="A88" s="134">
        <v>79</v>
      </c>
      <c r="B88" t="s">
        <v>291</v>
      </c>
      <c r="C88">
        <v>4086</v>
      </c>
      <c r="D88">
        <v>2010</v>
      </c>
      <c r="E88">
        <v>1801</v>
      </c>
      <c r="F88">
        <v>937</v>
      </c>
      <c r="H88">
        <v>87.93</v>
      </c>
      <c r="I88">
        <v>30.7</v>
      </c>
      <c r="J88">
        <v>23.4</v>
      </c>
      <c r="K88">
        <v>3.06</v>
      </c>
      <c r="M88">
        <v>5.97</v>
      </c>
      <c r="N88">
        <v>0</v>
      </c>
      <c r="O88">
        <v>0</v>
      </c>
      <c r="P88">
        <v>0</v>
      </c>
      <c r="Q88">
        <v>0</v>
      </c>
      <c r="R88">
        <v>0</v>
      </c>
      <c r="T88">
        <v>2.0299999999999998</v>
      </c>
      <c r="U88">
        <v>36.82</v>
      </c>
      <c r="V88">
        <v>28.67</v>
      </c>
      <c r="W88">
        <v>7.54</v>
      </c>
      <c r="AB88">
        <v>46.17</v>
      </c>
      <c r="AC88">
        <v>33</v>
      </c>
      <c r="AD88" s="136">
        <v>40.266300000000001</v>
      </c>
      <c r="AF88">
        <v>2.5299999999999998</v>
      </c>
      <c r="AG88">
        <v>0.78</v>
      </c>
      <c r="AH88">
        <v>1.29</v>
      </c>
      <c r="AI88">
        <v>1.96</v>
      </c>
      <c r="AJ88">
        <v>1.1299999999999999</v>
      </c>
      <c r="AK88">
        <v>0.74</v>
      </c>
      <c r="AL88">
        <v>1.39</v>
      </c>
      <c r="AM88">
        <v>1.17</v>
      </c>
      <c r="AN88">
        <v>0.39</v>
      </c>
      <c r="AO88">
        <v>1.51</v>
      </c>
      <c r="AR88">
        <v>0.53</v>
      </c>
      <c r="AW88">
        <v>0.7</v>
      </c>
      <c r="AY88">
        <v>83</v>
      </c>
      <c r="AZ88">
        <v>93</v>
      </c>
      <c r="BA88">
        <v>83</v>
      </c>
      <c r="BB88">
        <v>82</v>
      </c>
      <c r="BC88">
        <v>82</v>
      </c>
      <c r="BD88">
        <v>80</v>
      </c>
      <c r="BE88">
        <v>90</v>
      </c>
      <c r="BF88">
        <v>86</v>
      </c>
      <c r="BG88">
        <v>80</v>
      </c>
      <c r="BH88">
        <v>84</v>
      </c>
      <c r="BI88">
        <v>79</v>
      </c>
      <c r="BL88">
        <v>80</v>
      </c>
      <c r="BQ88">
        <v>88</v>
      </c>
      <c r="BS88">
        <v>0.38</v>
      </c>
      <c r="BT88">
        <v>0.1</v>
      </c>
      <c r="BU88">
        <v>1.07</v>
      </c>
      <c r="BV88">
        <v>0.68</v>
      </c>
      <c r="BW88">
        <v>0.02</v>
      </c>
      <c r="BX88">
        <v>0.95</v>
      </c>
      <c r="BY88">
        <v>0.3</v>
      </c>
      <c r="CA88">
        <v>0.84</v>
      </c>
      <c r="CB88">
        <v>20</v>
      </c>
      <c r="CC88">
        <v>29</v>
      </c>
      <c r="CF88" s="4">
        <v>15.2361</v>
      </c>
      <c r="CH88" s="107">
        <v>23.638999999999999</v>
      </c>
      <c r="CI88" s="107">
        <v>2.3022999999999998</v>
      </c>
      <c r="CJ88" s="107">
        <v>0.62400000000000011</v>
      </c>
      <c r="CK88" s="107">
        <v>1.0190999999999999</v>
      </c>
      <c r="CL88" s="107">
        <v>1.5484</v>
      </c>
      <c r="CM88" s="107">
        <v>0.85880000000000001</v>
      </c>
      <c r="CN88" s="107">
        <v>0.6512</v>
      </c>
      <c r="CO88" s="107">
        <v>1.054</v>
      </c>
      <c r="CP88" s="107">
        <v>1.1536999999999999</v>
      </c>
      <c r="CQ88" s="107">
        <v>1.7346999999999999</v>
      </c>
      <c r="CR88" s="107">
        <v>0.87749999999999995</v>
      </c>
      <c r="CS88" s="107">
        <v>0.31200000000000006</v>
      </c>
      <c r="CT88" s="107">
        <v>1.1476</v>
      </c>
      <c r="CU88" s="107"/>
      <c r="CV88" s="107">
        <v>25.480999999999998</v>
      </c>
      <c r="CW88" s="107">
        <f t="shared" si="56"/>
        <v>2.3529</v>
      </c>
      <c r="CX88" s="107">
        <f t="shared" si="57"/>
        <v>0.64740000000000009</v>
      </c>
      <c r="CY88" s="107">
        <f t="shared" si="58"/>
        <v>1.0578000000000001</v>
      </c>
      <c r="CZ88" s="107">
        <f t="shared" si="59"/>
        <v>1.6072</v>
      </c>
      <c r="DA88" s="107">
        <f t="shared" si="60"/>
        <v>0.90399999999999991</v>
      </c>
      <c r="DB88" s="107">
        <f t="shared" si="61"/>
        <v>0.66599999999999993</v>
      </c>
      <c r="DC88" s="107">
        <f t="shared" si="78"/>
        <v>1.0900000000000001</v>
      </c>
      <c r="DD88" s="107">
        <f t="shared" si="65"/>
        <v>1.1954</v>
      </c>
      <c r="DE88" s="107">
        <f t="shared" si="64"/>
        <v>1.8113999999999999</v>
      </c>
      <c r="DF88" s="107">
        <f t="shared" si="66"/>
        <v>0.93599999999999994</v>
      </c>
      <c r="DG88" s="107">
        <f t="shared" si="67"/>
        <v>0.3276</v>
      </c>
      <c r="DH88" s="107">
        <f t="shared" si="68"/>
        <v>1.1929000000000001</v>
      </c>
      <c r="DI88" s="107"/>
      <c r="DJ88" s="107"/>
      <c r="DK88" s="107"/>
      <c r="DL88" s="107"/>
      <c r="DM88" s="107"/>
      <c r="DN88" s="107"/>
      <c r="DO88" s="107"/>
      <c r="DP88" s="107"/>
      <c r="DQ88">
        <f t="shared" si="69"/>
        <v>0.19</v>
      </c>
      <c r="DR88">
        <f t="shared" si="70"/>
        <v>0.27549999999999997</v>
      </c>
      <c r="DS88">
        <f t="shared" si="79"/>
        <v>0</v>
      </c>
      <c r="DT88">
        <f t="shared" si="80"/>
        <v>0</v>
      </c>
      <c r="DU88"/>
      <c r="DV88" s="32"/>
      <c r="DW88" s="54">
        <f t="shared" si="81"/>
        <v>0</v>
      </c>
      <c r="DX88" s="33">
        <v>0</v>
      </c>
      <c r="DY88" s="79"/>
      <c r="DZ88" s="79"/>
      <c r="EA88" s="35"/>
      <c r="EB88" s="36">
        <f t="shared" si="71"/>
        <v>0</v>
      </c>
      <c r="EC88" s="80"/>
      <c r="ED88" s="80"/>
      <c r="EE88" s="80"/>
      <c r="EF88" s="383"/>
      <c r="EG88" s="392">
        <v>0.84</v>
      </c>
      <c r="EH88" s="80"/>
      <c r="EI88" s="38">
        <f t="shared" si="90"/>
        <v>42.400000000000006</v>
      </c>
      <c r="EJ88" s="37"/>
      <c r="EK88" s="37"/>
      <c r="EL88" s="37"/>
      <c r="EM88" s="37"/>
      <c r="EN88" s="37"/>
      <c r="EO88" s="37"/>
      <c r="EP88" s="37"/>
      <c r="EQ88" s="37"/>
      <c r="ER88" s="37"/>
      <c r="ES88" s="37"/>
      <c r="ET88" s="37"/>
      <c r="EU88" s="37"/>
      <c r="EV88" s="37"/>
      <c r="EW88" s="37"/>
      <c r="EX88" s="37"/>
      <c r="EY88" s="37"/>
      <c r="EZ88" s="37"/>
      <c r="FA88" s="37"/>
      <c r="FB88" s="37"/>
      <c r="FC88" s="37"/>
      <c r="FD88" s="37"/>
      <c r="FE88" s="37"/>
      <c r="FF88" s="37"/>
      <c r="FG88" s="37"/>
      <c r="FH88" s="37"/>
      <c r="FI88" s="37"/>
      <c r="FJ88" s="37"/>
      <c r="FK88" s="47"/>
      <c r="FL88" s="37"/>
      <c r="FM88" s="48">
        <f t="shared" si="73"/>
        <v>0.74222249875559987</v>
      </c>
      <c r="FN88" s="48">
        <f t="shared" si="74"/>
        <v>0.65816326530612246</v>
      </c>
      <c r="FO88" s="142">
        <f t="shared" si="75"/>
        <v>1.1277179050860275</v>
      </c>
      <c r="FP88" s="142">
        <f t="shared" si="76"/>
        <v>0.20383275261324044</v>
      </c>
      <c r="FQ88" s="180">
        <f t="shared" si="77"/>
        <v>5.2351791530944623E-2</v>
      </c>
    </row>
    <row r="89" spans="1:173" ht="12.75" customHeight="1" x14ac:dyDescent="0.15">
      <c r="A89" s="134">
        <v>80</v>
      </c>
      <c r="B89" t="s">
        <v>292</v>
      </c>
      <c r="C89">
        <v>4415</v>
      </c>
      <c r="D89">
        <v>2840</v>
      </c>
      <c r="E89">
        <v>2569</v>
      </c>
      <c r="F89">
        <v>1482</v>
      </c>
      <c r="H89">
        <v>90.4</v>
      </c>
      <c r="I89">
        <v>39.86</v>
      </c>
      <c r="J89">
        <v>18.440000000000001</v>
      </c>
      <c r="K89">
        <v>2.9</v>
      </c>
      <c r="M89">
        <v>6.06</v>
      </c>
      <c r="N89">
        <v>0</v>
      </c>
      <c r="O89">
        <v>0</v>
      </c>
      <c r="P89">
        <v>0</v>
      </c>
      <c r="Q89">
        <v>0</v>
      </c>
      <c r="R89">
        <v>0</v>
      </c>
      <c r="T89">
        <v>2.08</v>
      </c>
      <c r="U89">
        <v>30.24</v>
      </c>
      <c r="V89">
        <v>23</v>
      </c>
      <c r="AB89">
        <v>39.500000000000007</v>
      </c>
      <c r="AC89">
        <v>33</v>
      </c>
      <c r="AD89" s="136">
        <v>42.02</v>
      </c>
      <c r="AF89">
        <v>3.32</v>
      </c>
      <c r="AG89">
        <v>0.93</v>
      </c>
      <c r="AH89">
        <v>1.54</v>
      </c>
      <c r="AI89">
        <v>2.4700000000000002</v>
      </c>
      <c r="AJ89">
        <v>1.45</v>
      </c>
      <c r="AK89">
        <v>0.78</v>
      </c>
      <c r="AL89">
        <v>1.63</v>
      </c>
      <c r="AM89">
        <v>1.37</v>
      </c>
      <c r="AN89">
        <v>0.48</v>
      </c>
      <c r="AO89">
        <v>1.76</v>
      </c>
      <c r="AR89">
        <v>0.48</v>
      </c>
      <c r="AW89">
        <v>0.81</v>
      </c>
      <c r="AY89">
        <v>81</v>
      </c>
      <c r="AZ89">
        <v>93</v>
      </c>
      <c r="BA89">
        <v>85</v>
      </c>
      <c r="BB89">
        <v>80</v>
      </c>
      <c r="BC89">
        <v>80</v>
      </c>
      <c r="BD89">
        <v>78</v>
      </c>
      <c r="BE89">
        <v>89</v>
      </c>
      <c r="BF89">
        <v>81</v>
      </c>
      <c r="BG89">
        <v>77</v>
      </c>
      <c r="BH89">
        <v>80</v>
      </c>
      <c r="BI89">
        <v>79</v>
      </c>
      <c r="BL89">
        <v>82</v>
      </c>
      <c r="BQ89">
        <v>84</v>
      </c>
      <c r="BS89">
        <v>0.39</v>
      </c>
      <c r="BT89">
        <v>0.04</v>
      </c>
      <c r="BU89">
        <v>1.27</v>
      </c>
      <c r="BV89">
        <v>0.75</v>
      </c>
      <c r="BW89">
        <v>0.04</v>
      </c>
      <c r="BX89">
        <v>1.1599999999999999</v>
      </c>
      <c r="BY89">
        <v>0.38</v>
      </c>
      <c r="CA89">
        <v>0.89</v>
      </c>
      <c r="CB89">
        <v>20</v>
      </c>
      <c r="CC89">
        <v>29</v>
      </c>
      <c r="CF89" s="4">
        <v>13.035000000000002</v>
      </c>
      <c r="CH89" s="107">
        <v>30.293600000000001</v>
      </c>
      <c r="CI89" s="107">
        <v>3.0211999999999999</v>
      </c>
      <c r="CJ89" s="107">
        <v>0.76260000000000006</v>
      </c>
      <c r="CK89" s="107">
        <v>1.2012</v>
      </c>
      <c r="CL89" s="107">
        <v>1.9019000000000004</v>
      </c>
      <c r="CM89" s="107">
        <v>1.0874999999999999</v>
      </c>
      <c r="CN89" s="107">
        <v>0.6552</v>
      </c>
      <c r="CO89" s="107">
        <v>1.0247999999999999</v>
      </c>
      <c r="CP89" s="107">
        <v>1.2876999999999998</v>
      </c>
      <c r="CQ89" s="107">
        <v>1.8708999999999998</v>
      </c>
      <c r="CR89" s="107">
        <v>0.98640000000000017</v>
      </c>
      <c r="CS89" s="107">
        <v>0.35039999999999999</v>
      </c>
      <c r="CT89" s="107">
        <v>1.3375999999999999</v>
      </c>
      <c r="CU89" s="107"/>
      <c r="CV89" s="107">
        <v>32.2866</v>
      </c>
      <c r="CW89" s="107">
        <f t="shared" si="56"/>
        <v>3.0876000000000001</v>
      </c>
      <c r="CX89" s="107">
        <f t="shared" si="57"/>
        <v>0.79049999999999998</v>
      </c>
      <c r="CY89" s="107">
        <f t="shared" si="58"/>
        <v>1.232</v>
      </c>
      <c r="CZ89" s="107">
        <f t="shared" si="59"/>
        <v>1.9760000000000002</v>
      </c>
      <c r="DA89" s="107">
        <f t="shared" si="60"/>
        <v>1.131</v>
      </c>
      <c r="DB89" s="107">
        <f t="shared" si="61"/>
        <v>0.69420000000000004</v>
      </c>
      <c r="DC89" s="107">
        <f t="shared" si="78"/>
        <v>1.0878000000000001</v>
      </c>
      <c r="DD89" s="107">
        <f t="shared" si="65"/>
        <v>1.3203</v>
      </c>
      <c r="DE89" s="107">
        <f t="shared" si="64"/>
        <v>2.0007000000000001</v>
      </c>
      <c r="DF89" s="107">
        <f t="shared" si="66"/>
        <v>1.0549000000000002</v>
      </c>
      <c r="DG89" s="107">
        <f t="shared" si="67"/>
        <v>0.38400000000000001</v>
      </c>
      <c r="DH89" s="107">
        <f t="shared" si="68"/>
        <v>1.3903999999999999</v>
      </c>
      <c r="DI89" s="107"/>
      <c r="DJ89" s="107"/>
      <c r="DK89" s="107"/>
      <c r="DL89" s="107"/>
      <c r="DM89" s="107"/>
      <c r="DN89" s="107"/>
      <c r="DO89" s="107"/>
      <c r="DP89" s="107"/>
      <c r="DQ89">
        <f t="shared" si="69"/>
        <v>0.23199999999999998</v>
      </c>
      <c r="DR89">
        <f t="shared" si="70"/>
        <v>0.33640000000000003</v>
      </c>
      <c r="DS89">
        <f t="shared" si="79"/>
        <v>0</v>
      </c>
      <c r="DT89">
        <f t="shared" si="80"/>
        <v>0</v>
      </c>
      <c r="DU89"/>
      <c r="DV89" s="32"/>
      <c r="DW89" s="54">
        <f t="shared" si="81"/>
        <v>0</v>
      </c>
      <c r="DX89" s="33">
        <v>0</v>
      </c>
      <c r="DY89" s="79"/>
      <c r="DZ89" s="79"/>
      <c r="EA89" s="35"/>
      <c r="EB89" s="36">
        <f t="shared" si="71"/>
        <v>0</v>
      </c>
      <c r="EC89" s="80"/>
      <c r="ED89" s="80"/>
      <c r="EE89" s="80"/>
      <c r="EF89" s="383"/>
      <c r="EG89" s="392">
        <v>0.89</v>
      </c>
      <c r="EH89" s="80"/>
      <c r="EI89" s="38">
        <f t="shared" si="90"/>
        <v>39.36</v>
      </c>
      <c r="EJ89" s="37"/>
      <c r="EK89" s="37"/>
      <c r="EL89" s="37"/>
      <c r="EM89" s="37"/>
      <c r="EN89" s="37"/>
      <c r="EO89" s="37"/>
      <c r="EP89" s="37"/>
      <c r="EQ89" s="37"/>
      <c r="ER89" s="37"/>
      <c r="ES89" s="37"/>
      <c r="ET89" s="37"/>
      <c r="EU89" s="37"/>
      <c r="EV89" s="37"/>
      <c r="EW89" s="37"/>
      <c r="EX89" s="37"/>
      <c r="EY89" s="37"/>
      <c r="EZ89" s="37"/>
      <c r="FA89" s="37"/>
      <c r="FB89" s="37"/>
      <c r="FC89" s="37"/>
      <c r="FD89" s="37"/>
      <c r="FE89" s="37"/>
      <c r="FF89" s="37"/>
      <c r="FG89" s="37"/>
      <c r="FH89" s="37"/>
      <c r="FI89" s="37"/>
      <c r="FJ89" s="37"/>
      <c r="FK89" s="47"/>
      <c r="FL89" s="37"/>
      <c r="FM89" s="48">
        <f t="shared" si="73"/>
        <v>0.70364372469635617</v>
      </c>
      <c r="FN89" s="48">
        <f t="shared" si="74"/>
        <v>0.62348178137651811</v>
      </c>
      <c r="FO89" s="142">
        <f t="shared" si="75"/>
        <v>1.1285714285714286</v>
      </c>
      <c r="FP89" s="142">
        <f t="shared" si="76"/>
        <v>0.19433198380566799</v>
      </c>
      <c r="FQ89" s="180">
        <f t="shared" si="77"/>
        <v>4.9573507275464133E-2</v>
      </c>
    </row>
    <row r="90" spans="1:173" ht="12.75" customHeight="1" x14ac:dyDescent="0.15">
      <c r="A90" s="134">
        <v>81</v>
      </c>
      <c r="B90" t="s">
        <v>293</v>
      </c>
      <c r="C90">
        <v>4316</v>
      </c>
      <c r="D90">
        <v>3320</v>
      </c>
      <c r="E90">
        <v>3228</v>
      </c>
      <c r="F90">
        <v>2507</v>
      </c>
      <c r="H90">
        <v>88.48</v>
      </c>
      <c r="I90">
        <v>13.6</v>
      </c>
      <c r="J90">
        <v>2.54</v>
      </c>
      <c r="K90">
        <v>1.77</v>
      </c>
      <c r="M90">
        <v>2.95</v>
      </c>
      <c r="N90">
        <v>0</v>
      </c>
      <c r="O90">
        <v>0</v>
      </c>
      <c r="P90">
        <v>0</v>
      </c>
      <c r="Q90">
        <v>0</v>
      </c>
      <c r="R90">
        <v>0</v>
      </c>
      <c r="T90">
        <v>64.31</v>
      </c>
      <c r="U90">
        <v>10.28</v>
      </c>
      <c r="V90">
        <v>3.45</v>
      </c>
      <c r="W90">
        <v>0.77</v>
      </c>
      <c r="AB90">
        <v>5.8500000000000085</v>
      </c>
      <c r="AC90">
        <v>43</v>
      </c>
      <c r="AD90" s="136">
        <v>39.482100000000003</v>
      </c>
      <c r="AF90">
        <v>0.73</v>
      </c>
      <c r="AG90">
        <v>0.31</v>
      </c>
      <c r="AH90">
        <v>0.45</v>
      </c>
      <c r="AI90">
        <v>0.86</v>
      </c>
      <c r="AJ90">
        <v>0.46</v>
      </c>
      <c r="AK90">
        <v>0.24</v>
      </c>
      <c r="AL90">
        <v>0.52</v>
      </c>
      <c r="AM90">
        <v>0.41</v>
      </c>
      <c r="AN90">
        <v>0.16</v>
      </c>
      <c r="AO90">
        <v>0.59</v>
      </c>
      <c r="AR90">
        <v>0.28999999999999998</v>
      </c>
      <c r="AW90">
        <v>0.39</v>
      </c>
      <c r="AY90">
        <v>87</v>
      </c>
      <c r="AZ90">
        <v>85</v>
      </c>
      <c r="BA90">
        <v>82</v>
      </c>
      <c r="BB90">
        <v>83</v>
      </c>
      <c r="BC90">
        <v>85</v>
      </c>
      <c r="BD90">
        <v>78</v>
      </c>
      <c r="BE90">
        <v>89</v>
      </c>
      <c r="BF90">
        <v>85</v>
      </c>
      <c r="BG90">
        <v>70</v>
      </c>
      <c r="BH90">
        <v>82</v>
      </c>
      <c r="BI90">
        <v>82</v>
      </c>
      <c r="BL90">
        <v>83</v>
      </c>
      <c r="BQ90">
        <v>82</v>
      </c>
      <c r="BS90">
        <v>0.04</v>
      </c>
      <c r="BT90">
        <v>0.03</v>
      </c>
      <c r="BU90">
        <v>0.46</v>
      </c>
      <c r="BV90">
        <v>0.1</v>
      </c>
      <c r="BW90">
        <v>0.03</v>
      </c>
      <c r="BX90">
        <v>0.33</v>
      </c>
      <c r="BY90">
        <v>0.15</v>
      </c>
      <c r="CA90">
        <v>0.21</v>
      </c>
      <c r="CB90">
        <v>50</v>
      </c>
      <c r="CC90">
        <v>56</v>
      </c>
      <c r="CD90" s="139">
        <v>50</v>
      </c>
      <c r="CE90" s="139">
        <f t="shared" ref="CE90:CE96" si="91">CD90+10</f>
        <v>60</v>
      </c>
      <c r="CF90" s="4">
        <v>2.5155000000000034</v>
      </c>
      <c r="CH90" s="107">
        <v>10.743999999999998</v>
      </c>
      <c r="CI90" s="107">
        <v>0.59129999999999994</v>
      </c>
      <c r="CJ90" s="107">
        <v>0.248</v>
      </c>
      <c r="CK90" s="107">
        <v>0.35550000000000004</v>
      </c>
      <c r="CL90" s="107">
        <v>0.6966</v>
      </c>
      <c r="CM90" s="107">
        <v>0.34039999999999998</v>
      </c>
      <c r="CN90" s="107">
        <v>0.19919999999999999</v>
      </c>
      <c r="CO90" s="107">
        <v>0.43119999999999997</v>
      </c>
      <c r="CP90" s="107">
        <v>0.42120000000000002</v>
      </c>
      <c r="CQ90" s="107">
        <v>0.72930000000000006</v>
      </c>
      <c r="CR90" s="107">
        <v>0.26239999999999997</v>
      </c>
      <c r="CS90" s="107">
        <v>0.1216</v>
      </c>
      <c r="CT90" s="107">
        <v>0.45429999999999998</v>
      </c>
      <c r="CU90" s="107"/>
      <c r="CV90" s="107">
        <v>11.832000000000001</v>
      </c>
      <c r="CW90" s="107">
        <f t="shared" si="56"/>
        <v>0.62049999999999994</v>
      </c>
      <c r="CX90" s="107">
        <f t="shared" si="57"/>
        <v>0.25419999999999998</v>
      </c>
      <c r="CY90" s="107">
        <f t="shared" si="58"/>
        <v>0.3735</v>
      </c>
      <c r="CZ90" s="107">
        <f t="shared" si="59"/>
        <v>0.73099999999999998</v>
      </c>
      <c r="DA90" s="107">
        <f t="shared" si="60"/>
        <v>0.35880000000000001</v>
      </c>
      <c r="DB90" s="107">
        <f t="shared" si="61"/>
        <v>0.21359999999999998</v>
      </c>
      <c r="DC90" s="107">
        <f t="shared" si="78"/>
        <v>0.45429999999999993</v>
      </c>
      <c r="DD90" s="107">
        <f t="shared" si="65"/>
        <v>0.442</v>
      </c>
      <c r="DE90" s="107">
        <f t="shared" si="64"/>
        <v>0.76180000000000003</v>
      </c>
      <c r="DF90" s="107">
        <f t="shared" si="66"/>
        <v>0.28699999999999998</v>
      </c>
      <c r="DG90" s="107">
        <f t="shared" si="67"/>
        <v>0.13120000000000001</v>
      </c>
      <c r="DH90" s="107">
        <f t="shared" si="68"/>
        <v>0.48379999999999995</v>
      </c>
      <c r="DI90" s="107"/>
      <c r="DJ90" s="107"/>
      <c r="DK90" s="107"/>
      <c r="DL90" s="107"/>
      <c r="DM90" s="107"/>
      <c r="DN90" s="107"/>
      <c r="DO90" s="107"/>
      <c r="DP90" s="107"/>
      <c r="DQ90">
        <f t="shared" si="69"/>
        <v>0.16500000000000001</v>
      </c>
      <c r="DR90">
        <f t="shared" ref="DR90:DR117" si="92">CC90*BX90/100</f>
        <v>0.18479999999999999</v>
      </c>
      <c r="DS90">
        <f t="shared" si="79"/>
        <v>0.02</v>
      </c>
      <c r="DT90">
        <f t="shared" si="80"/>
        <v>2.4E-2</v>
      </c>
      <c r="DU90"/>
      <c r="DV90" s="32"/>
      <c r="DW90" s="54">
        <f t="shared" si="81"/>
        <v>0</v>
      </c>
      <c r="DX90" s="33">
        <v>0</v>
      </c>
      <c r="DY90" s="79"/>
      <c r="DZ90" s="79"/>
      <c r="EA90" s="35"/>
      <c r="EB90" s="36">
        <f t="shared" si="71"/>
        <v>0</v>
      </c>
      <c r="EC90" s="80"/>
      <c r="ED90" s="80"/>
      <c r="EE90" s="80"/>
      <c r="EF90" s="383"/>
      <c r="EG90" s="392">
        <v>0.21</v>
      </c>
      <c r="EH90" s="80"/>
      <c r="EI90" s="38">
        <f t="shared" si="90"/>
        <v>24.069999999999997</v>
      </c>
      <c r="EJ90" s="37"/>
      <c r="EK90" s="37"/>
      <c r="EL90" s="37"/>
      <c r="EM90" s="37"/>
      <c r="EN90" s="37"/>
      <c r="EO90" s="37"/>
      <c r="EP90" s="37"/>
      <c r="EQ90" s="37"/>
      <c r="ER90" s="37"/>
      <c r="ES90" s="37"/>
      <c r="ET90" s="37"/>
      <c r="EU90" s="37"/>
      <c r="EV90" s="37"/>
      <c r="EW90" s="37"/>
      <c r="EX90" s="37"/>
      <c r="EY90" s="37"/>
      <c r="EZ90" s="37"/>
      <c r="FA90" s="37"/>
      <c r="FB90" s="37"/>
      <c r="FC90" s="37"/>
      <c r="FD90" s="37"/>
      <c r="FE90" s="37"/>
      <c r="FF90" s="37"/>
      <c r="FG90" s="37"/>
      <c r="FH90" s="37"/>
      <c r="FI90" s="37"/>
      <c r="FJ90" s="37"/>
      <c r="FK90" s="47"/>
      <c r="FL90" s="37"/>
      <c r="FM90" s="48">
        <f t="shared" si="73"/>
        <v>0.66183310533515727</v>
      </c>
      <c r="FN90" s="48">
        <f t="shared" si="74"/>
        <v>0.51094391244870041</v>
      </c>
      <c r="FO90" s="142">
        <f t="shared" si="75"/>
        <v>1.2953145917001339</v>
      </c>
      <c r="FP90" s="142">
        <f t="shared" si="76"/>
        <v>0.17948016415868676</v>
      </c>
      <c r="FQ90" s="180">
        <f t="shared" si="77"/>
        <v>5.3749999999999999E-2</v>
      </c>
    </row>
    <row r="91" spans="1:173" ht="12.75" customHeight="1" x14ac:dyDescent="0.15">
      <c r="A91" s="134">
        <v>82</v>
      </c>
      <c r="B91" t="s">
        <v>294</v>
      </c>
      <c r="C91">
        <v>3788</v>
      </c>
      <c r="D91">
        <v>3313</v>
      </c>
      <c r="E91">
        <v>3215</v>
      </c>
      <c r="F91">
        <v>2472</v>
      </c>
      <c r="H91">
        <v>88.67</v>
      </c>
      <c r="I91">
        <v>14.46</v>
      </c>
      <c r="J91">
        <v>2.57</v>
      </c>
      <c r="K91">
        <v>1.82</v>
      </c>
      <c r="L91">
        <v>2.5099999999999998</v>
      </c>
      <c r="M91">
        <v>1.98</v>
      </c>
      <c r="N91">
        <v>0</v>
      </c>
      <c r="O91">
        <v>0</v>
      </c>
      <c r="P91">
        <v>0</v>
      </c>
      <c r="Q91">
        <v>0</v>
      </c>
      <c r="R91">
        <v>0</v>
      </c>
      <c r="T91">
        <v>59.5</v>
      </c>
      <c r="U91">
        <v>10.6</v>
      </c>
      <c r="V91">
        <v>3.55</v>
      </c>
      <c r="W91">
        <v>0.97</v>
      </c>
      <c r="X91">
        <v>9.83</v>
      </c>
      <c r="Y91">
        <v>6.81</v>
      </c>
      <c r="Z91">
        <v>2.34</v>
      </c>
      <c r="AB91">
        <v>10.910000000000011</v>
      </c>
      <c r="AC91">
        <v>46</v>
      </c>
      <c r="AD91" s="136">
        <v>40.136500000000012</v>
      </c>
      <c r="AF91">
        <v>0.6</v>
      </c>
      <c r="AG91">
        <v>0.34</v>
      </c>
      <c r="AH91">
        <v>0.47</v>
      </c>
      <c r="AI91">
        <v>0.91</v>
      </c>
      <c r="AJ91">
        <v>0.39</v>
      </c>
      <c r="AK91">
        <v>0.22</v>
      </c>
      <c r="AL91">
        <v>0.64</v>
      </c>
      <c r="AM91">
        <v>0.4</v>
      </c>
      <c r="AN91">
        <v>0.17</v>
      </c>
      <c r="AO91">
        <v>0.57999999999999996</v>
      </c>
      <c r="AP91">
        <v>0.47</v>
      </c>
      <c r="AQ91">
        <v>0.71</v>
      </c>
      <c r="AR91">
        <v>0.33</v>
      </c>
      <c r="AS91">
        <v>3.88</v>
      </c>
      <c r="AT91">
        <v>0.56999999999999995</v>
      </c>
      <c r="AU91">
        <v>1.36</v>
      </c>
      <c r="AV91">
        <v>0.6</v>
      </c>
      <c r="AW91">
        <v>0.36</v>
      </c>
      <c r="AY91">
        <v>88</v>
      </c>
      <c r="AZ91">
        <v>91</v>
      </c>
      <c r="BA91">
        <v>88</v>
      </c>
      <c r="BB91">
        <v>89</v>
      </c>
      <c r="BC91">
        <v>89</v>
      </c>
      <c r="BD91">
        <v>82</v>
      </c>
      <c r="BE91">
        <v>88</v>
      </c>
      <c r="BF91">
        <v>90</v>
      </c>
      <c r="BG91">
        <v>84</v>
      </c>
      <c r="BH91">
        <v>88</v>
      </c>
      <c r="BI91">
        <v>88</v>
      </c>
      <c r="BJ91">
        <v>83</v>
      </c>
      <c r="BK91">
        <v>84</v>
      </c>
      <c r="BL91">
        <v>89</v>
      </c>
      <c r="BM91">
        <v>93</v>
      </c>
      <c r="BN91">
        <v>92</v>
      </c>
      <c r="BO91">
        <v>105</v>
      </c>
      <c r="BP91">
        <v>89</v>
      </c>
      <c r="BQ91">
        <v>88</v>
      </c>
      <c r="BS91">
        <v>0.06</v>
      </c>
      <c r="BT91">
        <v>0.06</v>
      </c>
      <c r="BU91">
        <v>0.49</v>
      </c>
      <c r="BV91">
        <v>0.16</v>
      </c>
      <c r="BW91">
        <v>0.01</v>
      </c>
      <c r="BX91">
        <v>0.39</v>
      </c>
      <c r="BY91">
        <v>0.16</v>
      </c>
      <c r="CA91">
        <v>0.22</v>
      </c>
      <c r="CB91">
        <v>46</v>
      </c>
      <c r="CC91">
        <v>56</v>
      </c>
      <c r="CD91" s="139">
        <v>50</v>
      </c>
      <c r="CE91" s="139">
        <f t="shared" si="91"/>
        <v>60</v>
      </c>
      <c r="CF91" s="4">
        <v>5.0186000000000046</v>
      </c>
      <c r="CH91" s="107">
        <v>11.1342</v>
      </c>
      <c r="CI91" s="107">
        <v>0.498</v>
      </c>
      <c r="CJ91" s="107">
        <v>0.28220000000000001</v>
      </c>
      <c r="CK91" s="107">
        <v>0.38539999999999996</v>
      </c>
      <c r="CL91" s="107">
        <v>0.75529999999999997</v>
      </c>
      <c r="CM91" s="107">
        <v>0.28079999999999999</v>
      </c>
      <c r="CN91" s="107">
        <v>0.18260000000000001</v>
      </c>
      <c r="CO91" s="107">
        <v>0.45650000000000002</v>
      </c>
      <c r="CP91" s="107">
        <v>0.54400000000000004</v>
      </c>
      <c r="CQ91" s="107">
        <v>0.83200000000000007</v>
      </c>
      <c r="CR91" s="107">
        <v>0.28400000000000003</v>
      </c>
      <c r="CS91" s="107">
        <v>0.13940000000000002</v>
      </c>
      <c r="CT91" s="107">
        <v>0.4582</v>
      </c>
      <c r="CU91" s="107"/>
      <c r="CV91" s="107">
        <v>12.7248</v>
      </c>
      <c r="CW91" s="107">
        <f t="shared" si="56"/>
        <v>0.54600000000000004</v>
      </c>
      <c r="CX91" s="107">
        <f t="shared" si="57"/>
        <v>0.29920000000000002</v>
      </c>
      <c r="CY91" s="107">
        <f t="shared" si="58"/>
        <v>0.41830000000000001</v>
      </c>
      <c r="CZ91" s="107">
        <f t="shared" si="59"/>
        <v>0.80990000000000006</v>
      </c>
      <c r="DA91" s="107">
        <f t="shared" si="60"/>
        <v>0.31980000000000003</v>
      </c>
      <c r="DB91" s="107">
        <f t="shared" si="61"/>
        <v>0.19359999999999999</v>
      </c>
      <c r="DC91" s="107">
        <f t="shared" si="78"/>
        <v>0.48730000000000007</v>
      </c>
      <c r="DD91" s="107">
        <f t="shared" si="65"/>
        <v>0.57600000000000007</v>
      </c>
      <c r="DE91" s="107">
        <f t="shared" si="64"/>
        <v>0.89280000000000004</v>
      </c>
      <c r="DF91" s="107">
        <f t="shared" si="66"/>
        <v>0.33600000000000002</v>
      </c>
      <c r="DG91" s="107">
        <f t="shared" si="67"/>
        <v>0.14960000000000001</v>
      </c>
      <c r="DH91" s="107">
        <f t="shared" si="68"/>
        <v>0.51039999999999996</v>
      </c>
      <c r="DI91" s="107"/>
      <c r="DJ91" s="107"/>
      <c r="DK91" s="107"/>
      <c r="DL91" s="107"/>
      <c r="DM91" s="107"/>
      <c r="DN91" s="107"/>
      <c r="DO91" s="107"/>
      <c r="DP91" s="107"/>
      <c r="DQ91">
        <f t="shared" si="69"/>
        <v>0.1794</v>
      </c>
      <c r="DR91">
        <f t="shared" si="92"/>
        <v>0.21840000000000001</v>
      </c>
      <c r="DS91">
        <f t="shared" si="79"/>
        <v>0.03</v>
      </c>
      <c r="DT91">
        <f t="shared" si="80"/>
        <v>3.5999999999999997E-2</v>
      </c>
      <c r="DU91"/>
      <c r="DV91" s="39"/>
      <c r="DW91" s="54">
        <f t="shared" si="81"/>
        <v>120</v>
      </c>
      <c r="DX91" s="33">
        <v>0.06</v>
      </c>
      <c r="DY91" s="34">
        <v>2450</v>
      </c>
      <c r="DZ91" s="34">
        <v>2490</v>
      </c>
      <c r="EA91" s="35">
        <v>0.5</v>
      </c>
      <c r="EB91" s="36">
        <f t="shared" si="71"/>
        <v>0.19500000000000001</v>
      </c>
      <c r="EC91" s="37">
        <v>0.93</v>
      </c>
      <c r="ED91" s="80">
        <v>0</v>
      </c>
      <c r="EE91" s="81">
        <v>0</v>
      </c>
      <c r="EF91" s="81"/>
      <c r="EG91" s="390">
        <v>0.25</v>
      </c>
      <c r="EH91" s="126">
        <f>125*K91/10</f>
        <v>22.75</v>
      </c>
      <c r="EI91" s="38">
        <f t="shared" si="90"/>
        <v>29.37</v>
      </c>
      <c r="EJ91" s="37"/>
      <c r="EK91" s="37"/>
      <c r="EL91" s="37"/>
      <c r="EM91" s="37"/>
      <c r="EN91" s="37"/>
      <c r="EO91" s="37"/>
      <c r="EP91" s="37"/>
      <c r="EQ91" s="37"/>
      <c r="ER91" s="37"/>
      <c r="ES91" s="37"/>
      <c r="ET91" s="37"/>
      <c r="EU91" s="37"/>
      <c r="EV91" s="37"/>
      <c r="EW91" s="37"/>
      <c r="EX91" s="37"/>
      <c r="EY91" s="37"/>
      <c r="EZ91" s="37"/>
      <c r="FA91" s="37"/>
      <c r="FB91" s="37"/>
      <c r="FC91" s="37"/>
      <c r="FD91" s="37"/>
      <c r="FE91" s="37"/>
      <c r="FF91" s="37"/>
      <c r="FG91" s="37"/>
      <c r="FH91" s="37"/>
      <c r="FI91" s="37">
        <v>55.81</v>
      </c>
      <c r="FJ91" s="37">
        <v>2.5099999999999998</v>
      </c>
      <c r="FK91" s="47">
        <f t="shared" ref="FK91:FK96" si="93">SUM(FI91:FJ91)/100*K91</f>
        <v>1.0614240000000001</v>
      </c>
      <c r="FL91" s="37"/>
      <c r="FM91" s="48">
        <f t="shared" si="73"/>
        <v>0.63020125941474248</v>
      </c>
      <c r="FN91" s="48">
        <f t="shared" si="74"/>
        <v>0.51648351648351642</v>
      </c>
      <c r="FO91" s="142">
        <f t="shared" si="75"/>
        <v>1.2201769065264163</v>
      </c>
      <c r="FP91" s="142">
        <f t="shared" si="76"/>
        <v>0.18471416224225212</v>
      </c>
      <c r="FQ91" s="180">
        <f t="shared" si="77"/>
        <v>5.6009681881051175E-2</v>
      </c>
    </row>
    <row r="92" spans="1:173" ht="12.75" customHeight="1" x14ac:dyDescent="0.15">
      <c r="A92" s="134">
        <v>83</v>
      </c>
      <c r="B92" t="s">
        <v>295</v>
      </c>
      <c r="C92">
        <v>4295</v>
      </c>
      <c r="D92">
        <v>3450</v>
      </c>
      <c r="E92">
        <v>3376</v>
      </c>
      <c r="F92">
        <v>2595</v>
      </c>
      <c r="H92">
        <v>86.38</v>
      </c>
      <c r="I92">
        <v>10.92</v>
      </c>
      <c r="K92">
        <v>1.36</v>
      </c>
      <c r="M92">
        <v>1.99</v>
      </c>
      <c r="T92">
        <v>60.04</v>
      </c>
      <c r="V92">
        <v>3.55</v>
      </c>
      <c r="X92">
        <v>9.9</v>
      </c>
      <c r="Y92">
        <v>6.63</v>
      </c>
      <c r="Z92">
        <v>3.27</v>
      </c>
      <c r="AB92">
        <v>12.07</v>
      </c>
      <c r="AC92">
        <v>46</v>
      </c>
      <c r="AD92" s="136">
        <v>38.670299999999997</v>
      </c>
      <c r="AF92">
        <v>0.52</v>
      </c>
      <c r="AG92">
        <v>0.28000000000000003</v>
      </c>
      <c r="AH92">
        <v>0.34</v>
      </c>
      <c r="AI92">
        <v>0.68</v>
      </c>
      <c r="AJ92">
        <v>0.35</v>
      </c>
      <c r="AK92">
        <v>0.22</v>
      </c>
      <c r="AL92">
        <v>0.52</v>
      </c>
      <c r="AM92">
        <v>0.35</v>
      </c>
      <c r="AN92">
        <v>0.14000000000000001</v>
      </c>
      <c r="AO92">
        <v>0.47</v>
      </c>
      <c r="AR92">
        <v>0.3</v>
      </c>
      <c r="AW92">
        <v>0.3</v>
      </c>
      <c r="AY92" s="23">
        <v>88.083333333333329</v>
      </c>
      <c r="AZ92">
        <v>89</v>
      </c>
      <c r="BA92">
        <v>90</v>
      </c>
      <c r="BB92">
        <v>90</v>
      </c>
      <c r="BC92">
        <v>87</v>
      </c>
      <c r="BD92">
        <v>82</v>
      </c>
      <c r="BE92">
        <v>90</v>
      </c>
      <c r="BF92">
        <v>91</v>
      </c>
      <c r="BG92">
        <v>85</v>
      </c>
      <c r="BH92">
        <v>88</v>
      </c>
      <c r="BI92">
        <v>87</v>
      </c>
      <c r="BL92">
        <v>90</v>
      </c>
      <c r="BQ92">
        <v>88</v>
      </c>
      <c r="BS92">
        <v>0.03</v>
      </c>
      <c r="BT92">
        <v>0.08</v>
      </c>
      <c r="BU92">
        <v>0.46</v>
      </c>
      <c r="BV92">
        <v>0.11</v>
      </c>
      <c r="BW92">
        <v>0.01</v>
      </c>
      <c r="BX92">
        <v>0.3</v>
      </c>
      <c r="BY92">
        <v>0.16</v>
      </c>
      <c r="CA92">
        <v>0.2</v>
      </c>
      <c r="CB92">
        <v>46</v>
      </c>
      <c r="CC92">
        <v>56</v>
      </c>
      <c r="CD92" s="139">
        <v>50</v>
      </c>
      <c r="CE92" s="139">
        <f t="shared" si="91"/>
        <v>60</v>
      </c>
      <c r="CF92" s="4">
        <v>5.5522</v>
      </c>
      <c r="CH92" s="107">
        <v>0</v>
      </c>
      <c r="CI92" s="107">
        <v>0.43160000000000004</v>
      </c>
      <c r="CJ92" s="107">
        <v>0.23520000000000002</v>
      </c>
      <c r="CK92" s="107">
        <v>0.28560000000000002</v>
      </c>
      <c r="CL92" s="107">
        <v>0.57800000000000007</v>
      </c>
      <c r="CM92" s="107">
        <v>0.25549999999999995</v>
      </c>
      <c r="CN92" s="107">
        <v>0.187</v>
      </c>
      <c r="CO92" s="107">
        <v>0.439</v>
      </c>
      <c r="CP92" s="107">
        <v>0.45240000000000002</v>
      </c>
      <c r="CQ92" s="107">
        <v>0.70440000000000003</v>
      </c>
      <c r="CR92" s="107">
        <v>0.252</v>
      </c>
      <c r="CS92" s="107">
        <v>0.11340000000000001</v>
      </c>
      <c r="CT92" s="107">
        <v>0.37599999999999995</v>
      </c>
      <c r="CU92" s="107"/>
      <c r="CV92" s="107">
        <v>9.6186999999999987</v>
      </c>
      <c r="CW92" s="107">
        <f t="shared" si="56"/>
        <v>0.46279999999999999</v>
      </c>
      <c r="CX92" s="107">
        <f t="shared" si="57"/>
        <v>0.252</v>
      </c>
      <c r="CY92" s="107">
        <f t="shared" si="58"/>
        <v>0.30599999999999999</v>
      </c>
      <c r="CZ92" s="107">
        <f t="shared" si="59"/>
        <v>0.59160000000000001</v>
      </c>
      <c r="DA92" s="107">
        <f t="shared" si="60"/>
        <v>0.28699999999999998</v>
      </c>
      <c r="DB92" s="107">
        <f t="shared" si="61"/>
        <v>0.19800000000000001</v>
      </c>
      <c r="DC92" s="107">
        <f t="shared" si="78"/>
        <v>0.46799999999999997</v>
      </c>
      <c r="DD92" s="107">
        <f t="shared" si="65"/>
        <v>0.47320000000000001</v>
      </c>
      <c r="DE92" s="107">
        <f t="shared" si="64"/>
        <v>0.73720000000000008</v>
      </c>
      <c r="DF92" s="107">
        <f t="shared" si="66"/>
        <v>0.29749999999999999</v>
      </c>
      <c r="DG92" s="107">
        <f t="shared" si="67"/>
        <v>0.1232</v>
      </c>
      <c r="DH92" s="107">
        <f t="shared" si="68"/>
        <v>0.40889999999999999</v>
      </c>
      <c r="DI92" s="107"/>
      <c r="DJ92" s="107"/>
      <c r="DK92" s="107"/>
      <c r="DL92" s="107"/>
      <c r="DM92" s="107"/>
      <c r="DN92" s="107"/>
      <c r="DO92" s="107"/>
      <c r="DP92" s="107"/>
      <c r="DQ92">
        <f t="shared" si="69"/>
        <v>0.13799999999999998</v>
      </c>
      <c r="DR92">
        <f t="shared" si="92"/>
        <v>0.16800000000000001</v>
      </c>
      <c r="DS92">
        <f t="shared" si="79"/>
        <v>1.4999999999999999E-2</v>
      </c>
      <c r="DT92">
        <f t="shared" si="80"/>
        <v>1.7999999999999999E-2</v>
      </c>
      <c r="DU92"/>
      <c r="DV92" s="32"/>
      <c r="DW92" s="54">
        <f t="shared" si="81"/>
        <v>900</v>
      </c>
      <c r="DX92" s="33">
        <v>0.45</v>
      </c>
      <c r="DY92" s="34"/>
      <c r="DZ92" s="34"/>
      <c r="EA92" s="35"/>
      <c r="EB92" s="36">
        <f t="shared" si="71"/>
        <v>0</v>
      </c>
      <c r="EC92" s="80">
        <v>0</v>
      </c>
      <c r="ED92" s="80">
        <v>0</v>
      </c>
      <c r="EE92" s="80">
        <v>0</v>
      </c>
      <c r="EF92" s="383"/>
      <c r="EG92" s="392">
        <v>0.32</v>
      </c>
      <c r="EH92" s="80">
        <v>0</v>
      </c>
      <c r="EI92" s="38">
        <f t="shared" si="90"/>
        <v>27</v>
      </c>
      <c r="EJ92" s="37"/>
      <c r="EK92" s="48">
        <f>50/454</f>
        <v>0.11013215859030837</v>
      </c>
      <c r="EL92" s="48">
        <f>50/454</f>
        <v>0.11013215859030837</v>
      </c>
      <c r="EM92" s="48">
        <f>12/454</f>
        <v>2.643171806167401E-2</v>
      </c>
      <c r="EN92" s="84">
        <f>5/454</f>
        <v>1.1013215859030838E-2</v>
      </c>
      <c r="EO92" s="88">
        <f>0.09/454</f>
        <v>1.9823788546255506E-4</v>
      </c>
      <c r="EP92" s="88">
        <f>0.09/454</f>
        <v>1.9823788546255506E-4</v>
      </c>
      <c r="EQ92" s="88"/>
      <c r="ER92" s="88"/>
      <c r="ES92"/>
      <c r="ET92" s="37"/>
      <c r="EU92" s="37"/>
      <c r="EV92" s="37"/>
      <c r="EW92" s="37"/>
      <c r="EX92" s="37"/>
      <c r="EY92" s="37"/>
      <c r="EZ92" s="37"/>
      <c r="FA92" s="37"/>
      <c r="FB92" s="37"/>
      <c r="FC92" s="37"/>
      <c r="FD92" s="37"/>
      <c r="FE92" s="37"/>
      <c r="FF92" s="37"/>
      <c r="FG92" s="37"/>
      <c r="FH92" s="37"/>
      <c r="FI92" s="37">
        <v>55.81</v>
      </c>
      <c r="FJ92" s="37">
        <v>2.5099999999999998</v>
      </c>
      <c r="FK92" s="47">
        <f t="shared" si="93"/>
        <v>0.79315200000000008</v>
      </c>
      <c r="FL92" s="37"/>
      <c r="FM92" s="48">
        <f t="shared" si="73"/>
        <v>0.69117647058823528</v>
      </c>
      <c r="FN92" s="48">
        <f t="shared" si="74"/>
        <v>0.51724137931034475</v>
      </c>
      <c r="FO92" s="142">
        <f t="shared" si="75"/>
        <v>1.3362745098039215</v>
      </c>
      <c r="FP92" s="142">
        <f t="shared" si="76"/>
        <v>0.20824881676808654</v>
      </c>
      <c r="FQ92" s="180">
        <f t="shared" si="77"/>
        <v>5.4175824175824179E-2</v>
      </c>
    </row>
    <row r="93" spans="1:173" ht="12.75" customHeight="1" x14ac:dyDescent="0.15">
      <c r="A93" s="134">
        <v>84</v>
      </c>
      <c r="B93" t="s">
        <v>296</v>
      </c>
      <c r="C93">
        <v>4010</v>
      </c>
      <c r="D93">
        <v>2420</v>
      </c>
      <c r="E93">
        <v>2318</v>
      </c>
      <c r="F93">
        <v>1646</v>
      </c>
      <c r="H93">
        <v>87.38</v>
      </c>
      <c r="I93">
        <v>15.08</v>
      </c>
      <c r="J93">
        <v>7.77</v>
      </c>
      <c r="K93">
        <v>4.72</v>
      </c>
      <c r="M93">
        <v>4.16</v>
      </c>
      <c r="N93">
        <v>0</v>
      </c>
      <c r="O93">
        <v>0</v>
      </c>
      <c r="P93">
        <v>0</v>
      </c>
      <c r="Q93">
        <v>0</v>
      </c>
      <c r="R93">
        <v>0</v>
      </c>
      <c r="T93">
        <v>22.56</v>
      </c>
      <c r="U93">
        <v>32.28</v>
      </c>
      <c r="V93">
        <v>11</v>
      </c>
      <c r="AB93">
        <v>40.86</v>
      </c>
      <c r="AC93">
        <v>34</v>
      </c>
      <c r="AD93" s="136">
        <v>39.893000000000001</v>
      </c>
      <c r="AF93">
        <v>0.77</v>
      </c>
      <c r="AG93">
        <v>0.39</v>
      </c>
      <c r="AH93">
        <v>0.47</v>
      </c>
      <c r="AI93">
        <v>0.8</v>
      </c>
      <c r="AJ93">
        <v>0.52</v>
      </c>
      <c r="AK93">
        <v>0.22</v>
      </c>
      <c r="AL93">
        <v>0.49</v>
      </c>
      <c r="AM93">
        <v>0.6</v>
      </c>
      <c r="AN93">
        <v>0.22</v>
      </c>
      <c r="AO93">
        <v>0.66</v>
      </c>
      <c r="AP93">
        <v>1.79</v>
      </c>
      <c r="AQ93">
        <v>3.38</v>
      </c>
      <c r="AR93">
        <v>0.74</v>
      </c>
      <c r="AS93">
        <v>5.03</v>
      </c>
      <c r="AT93">
        <v>1.44</v>
      </c>
      <c r="AU93" s="139">
        <f>AV93*2</f>
        <v>3.04</v>
      </c>
      <c r="AV93">
        <v>1.52</v>
      </c>
      <c r="AW93">
        <v>0.69</v>
      </c>
      <c r="AY93">
        <v>78</v>
      </c>
      <c r="AZ93">
        <v>90</v>
      </c>
      <c r="BA93">
        <v>76</v>
      </c>
      <c r="BB93">
        <v>75</v>
      </c>
      <c r="BC93">
        <v>73</v>
      </c>
      <c r="BD93">
        <v>73</v>
      </c>
      <c r="BE93">
        <v>72</v>
      </c>
      <c r="BF93">
        <v>83</v>
      </c>
      <c r="BG93">
        <v>64</v>
      </c>
      <c r="BH93" s="157">
        <v>73</v>
      </c>
      <c r="BI93">
        <v>79</v>
      </c>
      <c r="BJ93">
        <v>58</v>
      </c>
      <c r="BK93">
        <v>66</v>
      </c>
      <c r="BL93">
        <v>77</v>
      </c>
      <c r="BM93">
        <v>84</v>
      </c>
      <c r="BN93">
        <v>67</v>
      </c>
      <c r="BO93">
        <v>87</v>
      </c>
      <c r="BP93">
        <v>73</v>
      </c>
      <c r="BQ93">
        <v>56</v>
      </c>
      <c r="BS93">
        <v>0.1</v>
      </c>
      <c r="BT93">
        <v>7.0000000000000007E-2</v>
      </c>
      <c r="BU93">
        <v>1.26</v>
      </c>
      <c r="BV93">
        <v>0.52</v>
      </c>
      <c r="BW93">
        <v>0.04</v>
      </c>
      <c r="BX93">
        <v>0.99</v>
      </c>
      <c r="BY93">
        <v>0.22</v>
      </c>
      <c r="CA93">
        <v>0.88</v>
      </c>
      <c r="CB93">
        <v>46</v>
      </c>
      <c r="CC93">
        <v>56</v>
      </c>
      <c r="CD93" s="139">
        <v>50</v>
      </c>
      <c r="CE93" s="139">
        <f t="shared" si="91"/>
        <v>60</v>
      </c>
      <c r="CF93" s="4">
        <v>13.8924</v>
      </c>
      <c r="CH93" s="107">
        <v>10.405200000000001</v>
      </c>
      <c r="CI93" s="107">
        <v>0.60060000000000002</v>
      </c>
      <c r="CJ93" s="107">
        <v>0.26519999999999999</v>
      </c>
      <c r="CK93" s="107">
        <v>0.33839999999999998</v>
      </c>
      <c r="CL93" s="107">
        <v>0.48800000000000004</v>
      </c>
      <c r="CM93" s="107">
        <v>0.31720000000000004</v>
      </c>
      <c r="CN93" s="107">
        <v>0.1474</v>
      </c>
      <c r="CO93" s="107">
        <v>0.66539999999999999</v>
      </c>
      <c r="CP93" s="107">
        <v>0.36259999999999998</v>
      </c>
      <c r="CQ93" s="107">
        <v>0.71449999999999991</v>
      </c>
      <c r="CR93" s="107">
        <v>0.28799999999999998</v>
      </c>
      <c r="CS93" s="107">
        <v>0</v>
      </c>
      <c r="CT93" s="107">
        <v>0.46200000000000002</v>
      </c>
      <c r="CU93" s="107"/>
      <c r="CV93" s="107">
        <v>11.7624</v>
      </c>
      <c r="CW93" s="107">
        <f t="shared" si="56"/>
        <v>0.69299999999999995</v>
      </c>
      <c r="CX93" s="107">
        <f t="shared" si="57"/>
        <v>0.2964</v>
      </c>
      <c r="CY93" s="107">
        <f t="shared" si="58"/>
        <v>0.35249999999999998</v>
      </c>
      <c r="CZ93" s="107">
        <f t="shared" si="59"/>
        <v>0.58400000000000007</v>
      </c>
      <c r="DA93" s="107">
        <f t="shared" si="60"/>
        <v>0.37959999999999999</v>
      </c>
      <c r="DB93" s="107">
        <f t="shared" si="61"/>
        <v>0.15839999999999999</v>
      </c>
      <c r="DC93" s="107">
        <f t="shared" si="78"/>
        <v>0.72819999999999996</v>
      </c>
      <c r="DD93" s="107">
        <f t="shared" si="65"/>
        <v>0.40670000000000001</v>
      </c>
      <c r="DE93" s="107">
        <f t="shared" si="64"/>
        <v>0.79310000000000003</v>
      </c>
      <c r="DF93" s="107">
        <f t="shared" si="66"/>
        <v>0.38400000000000001</v>
      </c>
      <c r="DG93" s="107">
        <f t="shared" si="67"/>
        <v>0.16059999999999999</v>
      </c>
      <c r="DH93" s="107">
        <f t="shared" si="68"/>
        <v>0.52139999999999997</v>
      </c>
      <c r="DI93" s="107">
        <f t="shared" ref="DI93" si="94">AP93*BJ93/100</f>
        <v>1.0382</v>
      </c>
      <c r="DJ93" s="107">
        <f t="shared" ref="DJ93" si="95">AQ93*BK93/100</f>
        <v>2.2307999999999999</v>
      </c>
      <c r="DK93" s="107">
        <f t="shared" ref="DK93" si="96">AR93*BL93/100</f>
        <v>0.56979999999999997</v>
      </c>
      <c r="DL93" s="107">
        <f t="shared" ref="DL93" si="97">AS93*BM93/100</f>
        <v>4.2252000000000001</v>
      </c>
      <c r="DM93" s="107">
        <f t="shared" ref="DM93" si="98">AT93*BN93/100</f>
        <v>0.96479999999999988</v>
      </c>
      <c r="DN93" s="107">
        <f t="shared" ref="DN93" si="99">AU93*BO93/100</f>
        <v>2.6448</v>
      </c>
      <c r="DO93" s="107">
        <f t="shared" ref="DO93" si="100">AV93*BP93/100</f>
        <v>1.1096000000000001</v>
      </c>
      <c r="DP93" s="107">
        <f t="shared" ref="DP93" si="101">AW93*BQ93/100</f>
        <v>0.38640000000000002</v>
      </c>
      <c r="DQ93">
        <f t="shared" si="69"/>
        <v>0.45539999999999997</v>
      </c>
      <c r="DR93">
        <f t="shared" si="92"/>
        <v>0.5544</v>
      </c>
      <c r="DS93">
        <f t="shared" si="79"/>
        <v>0.05</v>
      </c>
      <c r="DT93">
        <f t="shared" si="80"/>
        <v>0.06</v>
      </c>
      <c r="DU93"/>
      <c r="DV93" s="46"/>
      <c r="DW93" s="54">
        <f t="shared" si="81"/>
        <v>100</v>
      </c>
      <c r="DX93" s="33">
        <v>0.05</v>
      </c>
      <c r="DY93" s="40">
        <v>1430</v>
      </c>
      <c r="DZ93" s="40">
        <v>1570</v>
      </c>
      <c r="EA93" s="35">
        <v>0.28999999999999998</v>
      </c>
      <c r="EB93" s="36">
        <f t="shared" si="71"/>
        <v>0.28709999999999997</v>
      </c>
      <c r="EC93" s="68">
        <v>1.8</v>
      </c>
      <c r="ED93" s="80">
        <v>0</v>
      </c>
      <c r="EE93" s="81">
        <v>0</v>
      </c>
      <c r="EF93" s="81"/>
      <c r="EG93" s="390">
        <v>0.88</v>
      </c>
      <c r="EH93" s="126">
        <f>125*K93/10</f>
        <v>59</v>
      </c>
      <c r="EI93" s="38">
        <f t="shared" si="90"/>
        <v>56.98</v>
      </c>
      <c r="EJ93" s="37"/>
      <c r="EK93" s="37"/>
      <c r="EL93" s="37"/>
      <c r="EM93" s="37"/>
      <c r="EN93" s="37"/>
      <c r="EO93" s="37"/>
      <c r="EP93" s="37"/>
      <c r="EQ93" s="37"/>
      <c r="ER93" s="37"/>
      <c r="ES93" s="37"/>
      <c r="ET93" s="37"/>
      <c r="EU93" s="37"/>
      <c r="EV93" s="37"/>
      <c r="EW93" s="37"/>
      <c r="EX93" s="37"/>
      <c r="EY93" s="37"/>
      <c r="EZ93" s="37"/>
      <c r="FA93" s="37"/>
      <c r="FB93" s="37"/>
      <c r="FC93" s="37"/>
      <c r="FD93" s="37"/>
      <c r="FE93" s="37"/>
      <c r="FF93" s="37"/>
      <c r="FG93" s="37"/>
      <c r="FH93" s="37"/>
      <c r="FI93" s="37">
        <v>55.81</v>
      </c>
      <c r="FJ93" s="37">
        <v>2.5099999999999998</v>
      </c>
      <c r="FK93" s="47">
        <f t="shared" si="93"/>
        <v>2.752704</v>
      </c>
      <c r="FL93" s="37"/>
      <c r="FM93" s="48">
        <f t="shared" si="73"/>
        <v>0.89280821917808206</v>
      </c>
      <c r="FN93" s="48">
        <f t="shared" si="74"/>
        <v>0.60359589041095885</v>
      </c>
      <c r="FO93" s="142">
        <f t="shared" si="75"/>
        <v>1.4791489361702128</v>
      </c>
      <c r="FP93" s="142">
        <f t="shared" si="76"/>
        <v>0.27499999999999997</v>
      </c>
      <c r="FQ93" s="180">
        <f t="shared" si="77"/>
        <v>3.8726790450928389E-2</v>
      </c>
    </row>
    <row r="94" spans="1:173" ht="12.75" customHeight="1" x14ac:dyDescent="0.15">
      <c r="A94" s="134">
        <v>85</v>
      </c>
      <c r="B94" t="s">
        <v>297</v>
      </c>
      <c r="C94">
        <v>3901</v>
      </c>
      <c r="D94">
        <v>3075</v>
      </c>
      <c r="E94">
        <v>2968</v>
      </c>
      <c r="F94">
        <v>2113</v>
      </c>
      <c r="H94">
        <v>89.1</v>
      </c>
      <c r="I94">
        <v>15.76</v>
      </c>
      <c r="J94">
        <v>5.15</v>
      </c>
      <c r="K94">
        <v>3.15</v>
      </c>
      <c r="L94">
        <v>2.35</v>
      </c>
      <c r="M94">
        <v>2.0499999999999998</v>
      </c>
      <c r="N94">
        <v>0</v>
      </c>
      <c r="O94">
        <v>0</v>
      </c>
      <c r="P94">
        <v>0</v>
      </c>
      <c r="Q94">
        <v>0</v>
      </c>
      <c r="R94">
        <v>0</v>
      </c>
      <c r="T94">
        <v>21.83</v>
      </c>
      <c r="U94">
        <v>34.97</v>
      </c>
      <c r="V94">
        <v>5.98</v>
      </c>
      <c r="AB94">
        <v>46.309999999999988</v>
      </c>
      <c r="AC94">
        <v>37</v>
      </c>
      <c r="AD94" s="136">
        <v>41.191499999999991</v>
      </c>
      <c r="AF94">
        <v>1.1000000000000001</v>
      </c>
      <c r="AG94">
        <v>0.44</v>
      </c>
      <c r="AH94">
        <v>0.51</v>
      </c>
      <c r="AI94">
        <v>1.03</v>
      </c>
      <c r="AJ94">
        <v>0.65</v>
      </c>
      <c r="AK94">
        <v>0.25</v>
      </c>
      <c r="AL94">
        <v>0.64</v>
      </c>
      <c r="AM94">
        <v>0.53</v>
      </c>
      <c r="AN94">
        <v>0.19</v>
      </c>
      <c r="AO94">
        <v>0.72</v>
      </c>
      <c r="AR94">
        <v>0.35</v>
      </c>
      <c r="AW94">
        <v>0.28999999999999998</v>
      </c>
      <c r="AY94" s="23">
        <v>81</v>
      </c>
      <c r="AZ94">
        <v>91</v>
      </c>
      <c r="BA94">
        <v>84</v>
      </c>
      <c r="BB94">
        <v>79</v>
      </c>
      <c r="BC94">
        <v>80</v>
      </c>
      <c r="BD94">
        <v>78</v>
      </c>
      <c r="BE94">
        <v>82</v>
      </c>
      <c r="BF94">
        <v>84</v>
      </c>
      <c r="BG94">
        <v>73</v>
      </c>
      <c r="BH94">
        <v>81</v>
      </c>
      <c r="BI94">
        <v>81</v>
      </c>
      <c r="BL94">
        <v>76</v>
      </c>
      <c r="BQ94">
        <v>83</v>
      </c>
      <c r="BS94">
        <v>0.11</v>
      </c>
      <c r="BT94">
        <v>0.04</v>
      </c>
      <c r="BU94">
        <v>1.06</v>
      </c>
      <c r="BV94">
        <v>0.41</v>
      </c>
      <c r="BW94">
        <v>0.05</v>
      </c>
      <c r="BX94">
        <v>0.98</v>
      </c>
      <c r="BY94">
        <v>0.17</v>
      </c>
      <c r="CA94">
        <v>0.61</v>
      </c>
      <c r="CB94">
        <v>46</v>
      </c>
      <c r="CC94">
        <v>56</v>
      </c>
      <c r="CD94" s="139">
        <v>50</v>
      </c>
      <c r="CE94" s="139">
        <f t="shared" si="91"/>
        <v>60</v>
      </c>
      <c r="CF94" s="4">
        <v>17.134699999999995</v>
      </c>
      <c r="CH94" s="107">
        <v>0</v>
      </c>
      <c r="CI94" s="107">
        <v>0.95700000000000007</v>
      </c>
      <c r="CJ94" s="107">
        <v>0.35200000000000004</v>
      </c>
      <c r="CK94" s="107">
        <v>0.39270000000000005</v>
      </c>
      <c r="CL94" s="107">
        <v>0.77249999999999996</v>
      </c>
      <c r="CM94" s="107">
        <v>0.47450000000000003</v>
      </c>
      <c r="CN94" s="107">
        <v>0.19500000000000001</v>
      </c>
      <c r="CO94" s="107">
        <v>0.44350000000000001</v>
      </c>
      <c r="CP94" s="107">
        <v>0.50560000000000005</v>
      </c>
      <c r="CQ94" s="107">
        <v>0.72889999999999999</v>
      </c>
      <c r="CR94" s="107">
        <v>0.3286</v>
      </c>
      <c r="CS94" s="107">
        <v>0.1444</v>
      </c>
      <c r="CT94" s="107">
        <v>0.53280000000000005</v>
      </c>
      <c r="CU94" s="107"/>
      <c r="CV94" s="107">
        <v>12.765599999999999</v>
      </c>
      <c r="CW94" s="107">
        <f t="shared" si="56"/>
        <v>1.0010000000000001</v>
      </c>
      <c r="CX94" s="107">
        <f t="shared" si="57"/>
        <v>0.36959999999999998</v>
      </c>
      <c r="CY94" s="107">
        <f t="shared" si="58"/>
        <v>0.40289999999999998</v>
      </c>
      <c r="CZ94" s="107">
        <f t="shared" si="59"/>
        <v>0.82400000000000007</v>
      </c>
      <c r="DA94" s="107">
        <f t="shared" si="60"/>
        <v>0.50700000000000001</v>
      </c>
      <c r="DB94" s="107">
        <f t="shared" si="61"/>
        <v>0.20499999999999999</v>
      </c>
      <c r="DC94" s="107">
        <f t="shared" si="78"/>
        <v>0.47099999999999992</v>
      </c>
      <c r="DD94" s="107">
        <f t="shared" si="65"/>
        <v>0.53759999999999997</v>
      </c>
      <c r="DE94" s="107">
        <f t="shared" si="64"/>
        <v>0.77829999999999999</v>
      </c>
      <c r="DF94" s="107">
        <f t="shared" si="66"/>
        <v>0.38690000000000002</v>
      </c>
      <c r="DG94" s="107">
        <f t="shared" si="67"/>
        <v>0.15390000000000001</v>
      </c>
      <c r="DH94" s="107">
        <f t="shared" si="68"/>
        <v>0.58320000000000005</v>
      </c>
      <c r="DI94" s="107"/>
      <c r="DJ94" s="107"/>
      <c r="DK94" s="107"/>
      <c r="DL94" s="107"/>
      <c r="DM94" s="107"/>
      <c r="DN94" s="107"/>
      <c r="DO94" s="107"/>
      <c r="DP94" s="107"/>
      <c r="DQ94">
        <f t="shared" si="69"/>
        <v>0.45079999999999998</v>
      </c>
      <c r="DR94">
        <f t="shared" si="92"/>
        <v>0.54879999999999995</v>
      </c>
      <c r="DS94">
        <f t="shared" si="79"/>
        <v>5.5E-2</v>
      </c>
      <c r="DT94">
        <f t="shared" si="80"/>
        <v>6.6000000000000003E-2</v>
      </c>
      <c r="DU94"/>
      <c r="DV94" s="46"/>
      <c r="DW94" s="54">
        <f t="shared" si="81"/>
        <v>240</v>
      </c>
      <c r="DX94" s="33">
        <v>0.12</v>
      </c>
      <c r="DY94" s="40">
        <v>1850</v>
      </c>
      <c r="DZ94" s="40">
        <v>1950</v>
      </c>
      <c r="EA94" s="35">
        <v>0.41</v>
      </c>
      <c r="EB94" s="36">
        <f t="shared" si="71"/>
        <v>0.40179999999999999</v>
      </c>
      <c r="EC94" s="68">
        <v>1.74</v>
      </c>
      <c r="ED94" s="80">
        <v>0</v>
      </c>
      <c r="EE94" s="81">
        <v>0</v>
      </c>
      <c r="EF94" s="81"/>
      <c r="EG94" s="390">
        <v>0.61</v>
      </c>
      <c r="EH94" s="126">
        <f>125*K94/10</f>
        <v>39.375</v>
      </c>
      <c r="EI94" s="38">
        <f t="shared" si="90"/>
        <v>26.599999999999998</v>
      </c>
      <c r="EJ94" s="37"/>
      <c r="EK94" s="37"/>
      <c r="EL94" s="37"/>
      <c r="EM94" s="37"/>
      <c r="EN94" s="37"/>
      <c r="EO94" s="37"/>
      <c r="EP94" s="37"/>
      <c r="EQ94" s="37"/>
      <c r="ER94" s="37"/>
      <c r="ES94" s="37"/>
      <c r="ET94" s="37"/>
      <c r="EU94" s="37"/>
      <c r="EV94" s="37"/>
      <c r="EW94" s="37"/>
      <c r="EX94" s="37"/>
      <c r="EY94" s="37"/>
      <c r="EZ94" s="37"/>
      <c r="FA94" s="37"/>
      <c r="FB94" s="37"/>
      <c r="FC94" s="37"/>
      <c r="FD94" s="37"/>
      <c r="FE94" s="37"/>
      <c r="FF94" s="37"/>
      <c r="FG94" s="37"/>
      <c r="FH94" s="37"/>
      <c r="FI94" s="37">
        <v>56.74</v>
      </c>
      <c r="FJ94" s="37">
        <v>4.2</v>
      </c>
      <c r="FK94" s="47">
        <f t="shared" si="93"/>
        <v>1.91961</v>
      </c>
      <c r="FL94" s="37"/>
      <c r="FM94" s="48">
        <f t="shared" si="73"/>
        <v>0.70776699029126211</v>
      </c>
      <c r="FN94" s="48">
        <f t="shared" si="74"/>
        <v>0.48895631067961159</v>
      </c>
      <c r="FO94" s="142">
        <f t="shared" si="75"/>
        <v>1.4475055845122862</v>
      </c>
      <c r="FP94" s="142">
        <f t="shared" si="76"/>
        <v>0.18677184466019417</v>
      </c>
      <c r="FQ94" s="180">
        <f t="shared" si="77"/>
        <v>5.228426395939087E-2</v>
      </c>
    </row>
    <row r="95" spans="1:173" ht="12.75" customHeight="1" x14ac:dyDescent="0.15">
      <c r="A95" s="134">
        <v>86</v>
      </c>
      <c r="B95" t="s">
        <v>298</v>
      </c>
      <c r="C95">
        <v>4505</v>
      </c>
      <c r="D95">
        <v>2985</v>
      </c>
      <c r="E95">
        <v>2871</v>
      </c>
      <c r="F95">
        <v>2074</v>
      </c>
      <c r="H95">
        <v>87.9</v>
      </c>
      <c r="I95">
        <v>16.760000000000002</v>
      </c>
      <c r="K95">
        <v>4.5999999999999996</v>
      </c>
      <c r="M95">
        <v>2.1</v>
      </c>
      <c r="T95">
        <v>28.6</v>
      </c>
      <c r="U95">
        <v>29.5</v>
      </c>
      <c r="V95">
        <v>8.6</v>
      </c>
      <c r="AB95">
        <v>35.840000000000011</v>
      </c>
      <c r="AC95">
        <v>38</v>
      </c>
      <c r="AD95" s="136">
        <v>41.090800000000002</v>
      </c>
      <c r="AF95">
        <v>1.07</v>
      </c>
      <c r="AG95">
        <v>0.42</v>
      </c>
      <c r="AH95">
        <v>0.53</v>
      </c>
      <c r="AI95">
        <v>0.97</v>
      </c>
      <c r="AJ95">
        <v>0.59</v>
      </c>
      <c r="AK95">
        <v>0.27</v>
      </c>
      <c r="AL95">
        <v>0.62</v>
      </c>
      <c r="AM95">
        <v>0.51</v>
      </c>
      <c r="AN95">
        <v>0.22</v>
      </c>
      <c r="AO95">
        <v>0.76</v>
      </c>
      <c r="AR95">
        <v>0.43</v>
      </c>
      <c r="AW95">
        <v>0.26</v>
      </c>
      <c r="AY95">
        <v>62</v>
      </c>
      <c r="AZ95">
        <v>88</v>
      </c>
      <c r="BA95">
        <v>84</v>
      </c>
      <c r="BB95">
        <v>81</v>
      </c>
      <c r="BC95">
        <v>83</v>
      </c>
      <c r="BD95">
        <v>76</v>
      </c>
      <c r="BE95">
        <v>84</v>
      </c>
      <c r="BF95">
        <v>84</v>
      </c>
      <c r="BG95">
        <v>76</v>
      </c>
      <c r="BH95">
        <v>84</v>
      </c>
      <c r="BI95">
        <v>81</v>
      </c>
      <c r="BL95">
        <v>82</v>
      </c>
      <c r="BQ95">
        <v>84</v>
      </c>
      <c r="BS95">
        <v>0.08</v>
      </c>
      <c r="BT95">
        <v>0.04</v>
      </c>
      <c r="BU95">
        <v>1.06</v>
      </c>
      <c r="BV95">
        <v>0.25</v>
      </c>
      <c r="BW95">
        <v>0.02</v>
      </c>
      <c r="BX95">
        <v>0.93</v>
      </c>
      <c r="BY95">
        <v>0.2</v>
      </c>
      <c r="CB95">
        <v>46</v>
      </c>
      <c r="CC95">
        <v>56</v>
      </c>
      <c r="CD95" s="139">
        <v>50</v>
      </c>
      <c r="CE95" s="139">
        <f t="shared" si="91"/>
        <v>60</v>
      </c>
      <c r="CF95" s="4">
        <v>13.619200000000003</v>
      </c>
      <c r="CH95" s="107">
        <v>8.8828000000000014</v>
      </c>
      <c r="CI95" s="107">
        <v>0.92020000000000013</v>
      </c>
      <c r="CJ95" s="107">
        <v>0.34439999999999998</v>
      </c>
      <c r="CK95" s="107">
        <v>0.40810000000000002</v>
      </c>
      <c r="CL95" s="107">
        <v>0.69840000000000002</v>
      </c>
      <c r="CM95" s="107">
        <v>0.36579999999999996</v>
      </c>
      <c r="CN95" s="107">
        <v>0.21870000000000001</v>
      </c>
      <c r="CO95" s="107">
        <v>0.47670000000000001</v>
      </c>
      <c r="CP95" s="107">
        <v>0.50839999999999996</v>
      </c>
      <c r="CQ95" s="107">
        <v>0.71119999999999994</v>
      </c>
      <c r="CR95" s="107">
        <v>0.36719999999999997</v>
      </c>
      <c r="CS95" s="107">
        <v>0.16940000000000002</v>
      </c>
      <c r="CT95" s="107">
        <v>0.5776</v>
      </c>
      <c r="CU95" s="107"/>
      <c r="CV95" s="107">
        <v>10.391200000000001</v>
      </c>
      <c r="CW95" s="107">
        <f t="shared" si="56"/>
        <v>0.9416000000000001</v>
      </c>
      <c r="CX95" s="107">
        <f t="shared" si="57"/>
        <v>0.3528</v>
      </c>
      <c r="CY95" s="107">
        <f t="shared" si="58"/>
        <v>0.42930000000000001</v>
      </c>
      <c r="CZ95" s="107">
        <f t="shared" si="59"/>
        <v>0.80509999999999993</v>
      </c>
      <c r="DA95" s="107">
        <f t="shared" si="60"/>
        <v>0.44839999999999997</v>
      </c>
      <c r="DB95" s="107">
        <f t="shared" si="61"/>
        <v>0.2268</v>
      </c>
      <c r="DC95" s="107">
        <f t="shared" si="78"/>
        <v>0.57940000000000003</v>
      </c>
      <c r="DD95" s="107">
        <f t="shared" si="65"/>
        <v>0.52079999999999993</v>
      </c>
      <c r="DE95" s="107">
        <f t="shared" si="64"/>
        <v>0.73919999999999997</v>
      </c>
      <c r="DF95" s="107">
        <f t="shared" si="66"/>
        <v>0.3876</v>
      </c>
      <c r="DG95" s="107">
        <f t="shared" si="67"/>
        <v>0.18479999999999999</v>
      </c>
      <c r="DH95" s="107">
        <f t="shared" si="68"/>
        <v>0.61560000000000004</v>
      </c>
      <c r="DI95" s="107"/>
      <c r="DJ95" s="107"/>
      <c r="DK95" s="107"/>
      <c r="DL95" s="107"/>
      <c r="DM95" s="107"/>
      <c r="DN95" s="107"/>
      <c r="DO95" s="107"/>
      <c r="DP95" s="107"/>
      <c r="DQ95">
        <f t="shared" si="69"/>
        <v>0.42780000000000001</v>
      </c>
      <c r="DR95">
        <f t="shared" si="92"/>
        <v>0.52080000000000004</v>
      </c>
      <c r="DS95">
        <f t="shared" si="79"/>
        <v>0.04</v>
      </c>
      <c r="DT95">
        <f t="shared" si="80"/>
        <v>4.8000000000000001E-2</v>
      </c>
      <c r="DU95"/>
      <c r="DV95" s="32"/>
      <c r="DW95" s="54">
        <f t="shared" si="81"/>
        <v>0</v>
      </c>
      <c r="DX95" s="33">
        <v>0</v>
      </c>
      <c r="DY95" s="34"/>
      <c r="DZ95" s="34"/>
      <c r="EA95" s="35"/>
      <c r="EB95" s="36">
        <f t="shared" si="71"/>
        <v>0</v>
      </c>
      <c r="EC95" s="80"/>
      <c r="ED95" s="80"/>
      <c r="EE95" s="80"/>
      <c r="EF95" s="81"/>
      <c r="EG95" s="392">
        <v>0.6</v>
      </c>
      <c r="EH95" s="80"/>
      <c r="EI95" s="38">
        <f t="shared" si="90"/>
        <v>35.26</v>
      </c>
      <c r="EJ95" s="37"/>
      <c r="EK95" s="37"/>
      <c r="EL95" s="37"/>
      <c r="EM95" s="37"/>
      <c r="EN95" s="37"/>
      <c r="EO95" s="37"/>
      <c r="EP95" s="37"/>
      <c r="EQ95" s="89"/>
      <c r="ER95" s="37"/>
      <c r="ES95" s="37"/>
      <c r="ET95" s="37"/>
      <c r="EU95" s="37"/>
      <c r="EV95" s="37"/>
      <c r="EW95" s="37"/>
      <c r="EX95" s="37"/>
      <c r="EY95" s="37"/>
      <c r="EZ95" s="37"/>
      <c r="FA95" s="37"/>
      <c r="FB95" s="37"/>
      <c r="FC95" s="37"/>
      <c r="FD95" s="37"/>
      <c r="FE95" s="37"/>
      <c r="FF95" s="37"/>
      <c r="FG95" s="37"/>
      <c r="FH95" s="37"/>
      <c r="FI95" s="37">
        <v>55.81</v>
      </c>
      <c r="FJ95" s="37">
        <v>2.5099999999999998</v>
      </c>
      <c r="FK95" s="47">
        <f t="shared" si="93"/>
        <v>2.6827200000000002</v>
      </c>
      <c r="FL95" s="37"/>
      <c r="FM95" s="48">
        <f t="shared" si="73"/>
        <v>0.76462551235871334</v>
      </c>
      <c r="FN95" s="48">
        <f t="shared" si="74"/>
        <v>0.53322568625015532</v>
      </c>
      <c r="FO95" s="142">
        <f t="shared" si="75"/>
        <v>1.4339622641509435</v>
      </c>
      <c r="FP95" s="142">
        <f t="shared" si="76"/>
        <v>0.22953670351509131</v>
      </c>
      <c r="FQ95" s="180">
        <f t="shared" si="77"/>
        <v>4.8036992840095459E-2</v>
      </c>
    </row>
    <row r="96" spans="1:173" ht="12.75" customHeight="1" x14ac:dyDescent="0.15">
      <c r="A96" s="134">
        <v>87</v>
      </c>
      <c r="B96" t="s">
        <v>299</v>
      </c>
      <c r="C96">
        <v>4650</v>
      </c>
      <c r="D96">
        <v>3151</v>
      </c>
      <c r="E96">
        <v>2902</v>
      </c>
      <c r="F96">
        <v>1847</v>
      </c>
      <c r="H96">
        <v>92.59</v>
      </c>
      <c r="I96">
        <v>36.61</v>
      </c>
      <c r="J96">
        <v>6.75</v>
      </c>
      <c r="K96">
        <v>5.34</v>
      </c>
      <c r="L96">
        <v>5.09</v>
      </c>
      <c r="M96">
        <v>4.57</v>
      </c>
      <c r="T96">
        <v>1.78</v>
      </c>
      <c r="U96">
        <v>34.700000000000003</v>
      </c>
      <c r="V96">
        <v>13.81</v>
      </c>
      <c r="W96">
        <v>4.45</v>
      </c>
      <c r="AB96">
        <v>44.29</v>
      </c>
      <c r="AC96">
        <v>60</v>
      </c>
      <c r="AD96" s="136">
        <v>44.175399999999996</v>
      </c>
      <c r="AF96">
        <v>1.41</v>
      </c>
      <c r="AG96">
        <v>0.76</v>
      </c>
      <c r="AH96">
        <v>1.25</v>
      </c>
      <c r="AI96">
        <v>2.4500000000000002</v>
      </c>
      <c r="AJ96">
        <v>0.73</v>
      </c>
      <c r="AK96">
        <v>0.52</v>
      </c>
      <c r="AL96">
        <v>1.67</v>
      </c>
      <c r="AM96">
        <v>1.1299999999999999</v>
      </c>
      <c r="AN96">
        <v>0.37</v>
      </c>
      <c r="AO96">
        <v>1.6</v>
      </c>
      <c r="AR96">
        <v>0.61</v>
      </c>
      <c r="AW96">
        <v>1.06</v>
      </c>
      <c r="AY96">
        <v>75</v>
      </c>
      <c r="AZ96">
        <v>82</v>
      </c>
      <c r="BA96">
        <v>75</v>
      </c>
      <c r="BB96">
        <v>73</v>
      </c>
      <c r="BC96">
        <v>80</v>
      </c>
      <c r="BD96">
        <v>51</v>
      </c>
      <c r="BE96">
        <v>78</v>
      </c>
      <c r="BF96">
        <v>84</v>
      </c>
      <c r="BG96">
        <v>71</v>
      </c>
      <c r="BH96">
        <v>77</v>
      </c>
      <c r="BI96">
        <v>73</v>
      </c>
      <c r="BL96">
        <v>76</v>
      </c>
      <c r="BQ96">
        <v>81</v>
      </c>
      <c r="BS96">
        <v>0.16</v>
      </c>
      <c r="BU96">
        <v>1.06</v>
      </c>
      <c r="BV96">
        <v>0.39</v>
      </c>
      <c r="BW96">
        <v>0.28000000000000003</v>
      </c>
      <c r="BX96">
        <v>0.92</v>
      </c>
      <c r="BY96">
        <v>0.44</v>
      </c>
      <c r="CA96">
        <v>0.21</v>
      </c>
      <c r="CB96">
        <v>56</v>
      </c>
      <c r="CC96">
        <v>61</v>
      </c>
      <c r="CD96" s="139">
        <v>50</v>
      </c>
      <c r="CE96" s="139">
        <f t="shared" si="91"/>
        <v>60</v>
      </c>
      <c r="CF96" s="4">
        <v>26.574000000000002</v>
      </c>
      <c r="CH96" s="107">
        <v>25.260900000000003</v>
      </c>
      <c r="CI96" s="107">
        <v>1.0715999999999999</v>
      </c>
      <c r="CJ96" s="107">
        <v>0.54720000000000002</v>
      </c>
      <c r="CK96" s="107">
        <v>0.86250000000000004</v>
      </c>
      <c r="CL96" s="107">
        <v>1.8865000000000001</v>
      </c>
      <c r="CM96" s="107">
        <v>0.32119999999999999</v>
      </c>
      <c r="CN96" s="107">
        <v>0.36399999999999999</v>
      </c>
      <c r="CO96" s="107">
        <v>0.78489999999999993</v>
      </c>
      <c r="CP96" s="107">
        <v>1.3694</v>
      </c>
      <c r="CQ96" s="107">
        <v>2.1856</v>
      </c>
      <c r="CR96" s="107">
        <v>0.72319999999999995</v>
      </c>
      <c r="CS96" s="107">
        <v>0.26640000000000003</v>
      </c>
      <c r="CT96" s="107">
        <v>1.1040000000000001</v>
      </c>
      <c r="CU96" s="107"/>
      <c r="CV96" s="107">
        <v>27.4575</v>
      </c>
      <c r="CW96" s="107">
        <f t="shared" si="56"/>
        <v>1.1561999999999999</v>
      </c>
      <c r="CX96" s="107">
        <f t="shared" si="57"/>
        <v>0.56999999999999995</v>
      </c>
      <c r="CY96" s="107">
        <f t="shared" si="58"/>
        <v>0.91249999999999998</v>
      </c>
      <c r="CZ96" s="107">
        <f t="shared" si="59"/>
        <v>1.96</v>
      </c>
      <c r="DA96" s="107">
        <f t="shared" si="60"/>
        <v>0.37229999999999996</v>
      </c>
      <c r="DB96" s="107">
        <f t="shared" si="61"/>
        <v>0.40560000000000002</v>
      </c>
      <c r="DC96" s="107">
        <f t="shared" si="78"/>
        <v>0.86919999999999997</v>
      </c>
      <c r="DD96" s="107">
        <f t="shared" si="65"/>
        <v>1.4028</v>
      </c>
      <c r="DE96" s="107">
        <f t="shared" si="64"/>
        <v>2.2614000000000001</v>
      </c>
      <c r="DF96" s="107">
        <f t="shared" si="66"/>
        <v>0.8022999999999999</v>
      </c>
      <c r="DG96" s="107">
        <f t="shared" si="67"/>
        <v>0.28489999999999999</v>
      </c>
      <c r="DH96" s="107">
        <f t="shared" si="68"/>
        <v>1.1680000000000001</v>
      </c>
      <c r="DI96" s="107"/>
      <c r="DJ96" s="107"/>
      <c r="DK96" s="107"/>
      <c r="DL96" s="107"/>
      <c r="DM96" s="107"/>
      <c r="DN96" s="107"/>
      <c r="DO96" s="107"/>
      <c r="DP96" s="107"/>
      <c r="DQ96">
        <f t="shared" si="69"/>
        <v>0.51519999999999999</v>
      </c>
      <c r="DR96">
        <f t="shared" si="92"/>
        <v>0.56120000000000003</v>
      </c>
      <c r="DS96">
        <f t="shared" si="79"/>
        <v>0.08</v>
      </c>
      <c r="DT96">
        <f t="shared" si="80"/>
        <v>9.6000000000000002E-2</v>
      </c>
      <c r="DU96"/>
      <c r="DV96" s="32"/>
      <c r="DW96" s="54">
        <f t="shared" si="81"/>
        <v>0</v>
      </c>
      <c r="DX96" s="33">
        <v>0</v>
      </c>
      <c r="DY96" s="34"/>
      <c r="DZ96" s="34"/>
      <c r="EA96" s="35"/>
      <c r="EB96" s="36">
        <f t="shared" si="71"/>
        <v>0</v>
      </c>
      <c r="EC96" s="80"/>
      <c r="ED96" s="80"/>
      <c r="EE96" s="80"/>
      <c r="EF96" s="81"/>
      <c r="EG96" s="392">
        <v>0.21</v>
      </c>
      <c r="EH96" s="80"/>
      <c r="EI96" s="38">
        <f t="shared" si="90"/>
        <v>46.36</v>
      </c>
      <c r="EJ96" s="37"/>
      <c r="EK96" s="37"/>
      <c r="EL96" s="37"/>
      <c r="EM96" s="37"/>
      <c r="EN96" s="37"/>
      <c r="EO96" s="37"/>
      <c r="EP96" s="37"/>
      <c r="EQ96" s="89"/>
      <c r="ER96" s="37"/>
      <c r="ES96" s="37"/>
      <c r="ET96" s="37"/>
      <c r="EU96" s="37"/>
      <c r="EV96" s="37"/>
      <c r="EW96" s="37"/>
      <c r="EX96" s="37"/>
      <c r="EY96" s="37"/>
      <c r="EZ96" s="37"/>
      <c r="FA96" s="37"/>
      <c r="FB96" s="37"/>
      <c r="FC96" s="37"/>
      <c r="FD96" s="37"/>
      <c r="FE96" s="37"/>
      <c r="FF96" s="37"/>
      <c r="FG96" s="37"/>
      <c r="FH96" s="37"/>
      <c r="FI96" s="37">
        <v>55.81</v>
      </c>
      <c r="FJ96" s="37">
        <v>2.5099999999999998</v>
      </c>
      <c r="FK96" s="47">
        <f t="shared" si="93"/>
        <v>3.1142880000000002</v>
      </c>
      <c r="FL96" s="37"/>
      <c r="FM96" s="48">
        <f t="shared" si="73"/>
        <v>0.59591836734693882</v>
      </c>
      <c r="FN96" s="48">
        <f t="shared" si="74"/>
        <v>0.46556122448979592</v>
      </c>
      <c r="FO96" s="142">
        <f t="shared" si="75"/>
        <v>1.2800000000000002</v>
      </c>
      <c r="FP96" s="142">
        <f t="shared" si="76"/>
        <v>0.14535714285714285</v>
      </c>
      <c r="FQ96" s="180">
        <f t="shared" si="77"/>
        <v>5.3537284894837479E-2</v>
      </c>
    </row>
    <row r="97" spans="1:173" ht="12.75" customHeight="1" x14ac:dyDescent="0.15">
      <c r="A97" s="134">
        <v>88</v>
      </c>
      <c r="B97" t="s">
        <v>300</v>
      </c>
      <c r="C97">
        <v>4461</v>
      </c>
      <c r="D97">
        <v>4015</v>
      </c>
      <c r="E97">
        <v>3699</v>
      </c>
      <c r="F97">
        <v>2414</v>
      </c>
      <c r="H97">
        <v>93.3</v>
      </c>
      <c r="I97">
        <v>46.52</v>
      </c>
      <c r="K97">
        <v>2.0499999999999998</v>
      </c>
      <c r="M97">
        <v>6.9</v>
      </c>
      <c r="T97">
        <v>4.2</v>
      </c>
      <c r="U97">
        <v>4</v>
      </c>
      <c r="V97">
        <v>3</v>
      </c>
      <c r="AB97">
        <v>33.629999999999995</v>
      </c>
      <c r="AC97">
        <v>97</v>
      </c>
      <c r="AD97" s="136">
        <v>43.195099999999996</v>
      </c>
      <c r="AF97">
        <v>2.2000000000000002</v>
      </c>
      <c r="AG97">
        <v>1.0900000000000001</v>
      </c>
      <c r="AH97">
        <v>2.15</v>
      </c>
      <c r="AI97">
        <v>3.13</v>
      </c>
      <c r="AJ97">
        <v>3.22</v>
      </c>
      <c r="AK97">
        <v>0.74</v>
      </c>
      <c r="AL97">
        <v>1.83</v>
      </c>
      <c r="AM97">
        <v>2.2000000000000002</v>
      </c>
      <c r="AN97">
        <v>0.56000000000000005</v>
      </c>
      <c r="AO97">
        <v>2.39</v>
      </c>
      <c r="AR97">
        <v>0.5</v>
      </c>
      <c r="AW97">
        <v>1.55</v>
      </c>
      <c r="AY97" s="23">
        <v>69.25</v>
      </c>
      <c r="AZ97">
        <v>79</v>
      </c>
      <c r="BA97">
        <v>77</v>
      </c>
      <c r="BB97">
        <v>74</v>
      </c>
      <c r="BC97">
        <v>73</v>
      </c>
      <c r="BD97">
        <v>76</v>
      </c>
      <c r="BE97">
        <v>72</v>
      </c>
      <c r="BF97">
        <v>72</v>
      </c>
      <c r="BG97">
        <v>66</v>
      </c>
      <c r="BH97">
        <v>60</v>
      </c>
      <c r="BI97">
        <v>70</v>
      </c>
      <c r="BL97">
        <v>48</v>
      </c>
      <c r="BQ97">
        <v>64</v>
      </c>
      <c r="BS97">
        <v>0.16</v>
      </c>
      <c r="BT97">
        <v>0.12</v>
      </c>
      <c r="BU97">
        <v>1.8</v>
      </c>
      <c r="BV97">
        <v>0.23</v>
      </c>
      <c r="BW97">
        <v>0.1</v>
      </c>
      <c r="BX97">
        <v>1.4</v>
      </c>
      <c r="BY97">
        <v>0.4</v>
      </c>
      <c r="CB97">
        <v>80</v>
      </c>
      <c r="CC97">
        <v>85</v>
      </c>
      <c r="CF97" s="4">
        <v>32.621099999999998</v>
      </c>
      <c r="CH97" s="107">
        <v>0</v>
      </c>
      <c r="CI97" s="107">
        <v>1.7380000000000002</v>
      </c>
      <c r="CJ97" s="107">
        <v>0.83930000000000005</v>
      </c>
      <c r="CK97" s="107">
        <v>1.591</v>
      </c>
      <c r="CL97" s="107">
        <v>2.2848999999999999</v>
      </c>
      <c r="CM97" s="107">
        <v>2.4472000000000005</v>
      </c>
      <c r="CN97" s="107">
        <v>0.53280000000000005</v>
      </c>
      <c r="CO97" s="107">
        <v>0.72280000000000011</v>
      </c>
      <c r="CP97" s="107">
        <v>1.3175999999999999</v>
      </c>
      <c r="CQ97" s="107">
        <v>2.2630999999999997</v>
      </c>
      <c r="CR97" s="107">
        <v>1.3860000000000001</v>
      </c>
      <c r="CS97" s="107">
        <v>0.33600000000000002</v>
      </c>
      <c r="CT97" s="107">
        <v>1.673</v>
      </c>
      <c r="CU97" s="107"/>
      <c r="CV97" s="107">
        <v>32.2151</v>
      </c>
      <c r="CW97" s="107">
        <f t="shared" si="56"/>
        <v>1.7380000000000002</v>
      </c>
      <c r="CX97" s="107">
        <f t="shared" si="57"/>
        <v>0.83930000000000005</v>
      </c>
      <c r="CY97" s="107">
        <f t="shared" si="58"/>
        <v>1.591</v>
      </c>
      <c r="CZ97" s="107">
        <f t="shared" si="59"/>
        <v>2.2848999999999999</v>
      </c>
      <c r="DA97" s="107">
        <f t="shared" si="60"/>
        <v>2.4472000000000005</v>
      </c>
      <c r="DB97" s="107">
        <f t="shared" si="61"/>
        <v>0.53280000000000005</v>
      </c>
      <c r="DC97" s="107">
        <f t="shared" si="78"/>
        <v>0.77280000000000004</v>
      </c>
      <c r="DD97" s="107">
        <f t="shared" si="65"/>
        <v>1.3175999999999999</v>
      </c>
      <c r="DE97" s="107">
        <f t="shared" si="64"/>
        <v>2.3095999999999997</v>
      </c>
      <c r="DF97" s="107">
        <f t="shared" si="66"/>
        <v>1.4520000000000002</v>
      </c>
      <c r="DG97" s="107">
        <f t="shared" si="67"/>
        <v>0.33600000000000002</v>
      </c>
      <c r="DH97" s="107">
        <f t="shared" si="68"/>
        <v>1.673</v>
      </c>
      <c r="DI97" s="107"/>
      <c r="DJ97" s="107"/>
      <c r="DK97" s="107"/>
      <c r="DL97" s="107"/>
      <c r="DM97" s="107"/>
      <c r="DN97" s="107"/>
      <c r="DO97" s="107"/>
      <c r="DP97" s="107"/>
      <c r="DQ97">
        <f t="shared" si="69"/>
        <v>1.1200000000000001</v>
      </c>
      <c r="DR97">
        <f t="shared" si="92"/>
        <v>1.19</v>
      </c>
      <c r="DS97">
        <f t="shared" si="79"/>
        <v>0</v>
      </c>
      <c r="DT97">
        <f t="shared" si="80"/>
        <v>0</v>
      </c>
      <c r="DU97"/>
      <c r="DV97" s="32"/>
      <c r="DW97" s="54">
        <f t="shared" si="81"/>
        <v>0</v>
      </c>
      <c r="DX97" s="33">
        <v>0</v>
      </c>
      <c r="DY97" s="34"/>
      <c r="DZ97" s="34"/>
      <c r="EA97" s="35"/>
      <c r="EB97" s="36">
        <f t="shared" si="71"/>
        <v>0</v>
      </c>
      <c r="EC97" s="80"/>
      <c r="ED97" s="80"/>
      <c r="EE97" s="80"/>
      <c r="EF97" s="383"/>
      <c r="EG97" s="392">
        <v>0.28999999999999998</v>
      </c>
      <c r="EH97" s="80"/>
      <c r="EI97" s="38">
        <f t="shared" si="90"/>
        <v>24</v>
      </c>
      <c r="EJ97" s="37"/>
      <c r="EK97" s="37"/>
      <c r="EL97" s="37"/>
      <c r="EM97" s="37"/>
      <c r="EN97" s="37"/>
      <c r="EO97" s="37"/>
      <c r="EP97" s="37"/>
      <c r="EQ97" s="89"/>
      <c r="ER97" s="37"/>
      <c r="ES97" s="37"/>
      <c r="ET97" s="37"/>
      <c r="EU97" s="37"/>
      <c r="EV97" s="37"/>
      <c r="EW97" s="37"/>
      <c r="EX97" s="37"/>
      <c r="EY97" s="37"/>
      <c r="EZ97" s="37"/>
      <c r="FA97" s="37"/>
      <c r="FB97" s="37"/>
      <c r="FC97" s="37"/>
      <c r="FD97" s="37"/>
      <c r="FE97" s="37"/>
      <c r="FF97" s="37"/>
      <c r="FG97" s="37"/>
      <c r="FH97" s="37"/>
      <c r="FI97" s="37"/>
      <c r="FJ97" s="37"/>
      <c r="FK97" s="47"/>
      <c r="FL97" s="37"/>
      <c r="FM97" s="48">
        <f t="shared" si="73"/>
        <v>0.73219834566064168</v>
      </c>
      <c r="FN97" s="48">
        <f t="shared" si="74"/>
        <v>0.69631056063722707</v>
      </c>
      <c r="FO97" s="142">
        <f t="shared" si="75"/>
        <v>1.0515399120050284</v>
      </c>
      <c r="FP97" s="142">
        <f t="shared" si="76"/>
        <v>0.14705238741301591</v>
      </c>
      <c r="FQ97" s="180">
        <f t="shared" si="77"/>
        <v>4.9116509028374888E-2</v>
      </c>
    </row>
    <row r="98" spans="1:173" ht="12.75" customHeight="1" x14ac:dyDescent="0.15">
      <c r="A98" s="134">
        <v>89</v>
      </c>
      <c r="B98" t="s">
        <v>301</v>
      </c>
      <c r="C98">
        <v>3725</v>
      </c>
      <c r="D98">
        <v>4166</v>
      </c>
      <c r="E98">
        <v>3920</v>
      </c>
      <c r="F98">
        <v>2593</v>
      </c>
      <c r="H98">
        <v>93.3</v>
      </c>
      <c r="I98">
        <v>36.25</v>
      </c>
      <c r="K98">
        <v>2.0499999999999998</v>
      </c>
      <c r="M98">
        <v>6.9</v>
      </c>
      <c r="T98">
        <v>0</v>
      </c>
      <c r="V98">
        <v>3</v>
      </c>
      <c r="AB98">
        <v>48.1</v>
      </c>
      <c r="AC98">
        <v>97</v>
      </c>
      <c r="AD98" s="136">
        <v>42.415500000000002</v>
      </c>
      <c r="AF98">
        <v>1.45</v>
      </c>
      <c r="AG98">
        <v>0.71</v>
      </c>
      <c r="AH98">
        <v>1.36</v>
      </c>
      <c r="AI98">
        <v>1.81</v>
      </c>
      <c r="AJ98">
        <v>2.58</v>
      </c>
      <c r="AK98">
        <v>0.84</v>
      </c>
      <c r="AL98">
        <v>1.18</v>
      </c>
      <c r="AM98">
        <v>1.42</v>
      </c>
      <c r="AO98">
        <v>1.53</v>
      </c>
      <c r="AW98">
        <v>0.61</v>
      </c>
      <c r="AY98">
        <v>69</v>
      </c>
      <c r="AZ98">
        <v>75</v>
      </c>
      <c r="BA98">
        <v>66</v>
      </c>
      <c r="BB98">
        <v>59</v>
      </c>
      <c r="BC98">
        <v>61</v>
      </c>
      <c r="BD98">
        <v>74</v>
      </c>
      <c r="BE98">
        <v>88</v>
      </c>
      <c r="BF98">
        <v>53</v>
      </c>
      <c r="BG98">
        <v>54</v>
      </c>
      <c r="BI98">
        <v>58</v>
      </c>
      <c r="BX98">
        <v>1.54</v>
      </c>
      <c r="CB98">
        <v>70</v>
      </c>
      <c r="CC98">
        <v>75</v>
      </c>
      <c r="CF98" s="4">
        <v>46.656999999999996</v>
      </c>
      <c r="CH98" s="107">
        <v>23.925000000000001</v>
      </c>
      <c r="CI98" s="107">
        <v>1.0585</v>
      </c>
      <c r="CJ98" s="107">
        <v>0.45439999999999997</v>
      </c>
      <c r="CK98" s="107">
        <v>0.77520000000000011</v>
      </c>
      <c r="CL98" s="107">
        <v>1.0679000000000001</v>
      </c>
      <c r="CM98" s="107">
        <v>1.8834</v>
      </c>
      <c r="CN98" s="107">
        <v>0.73080000000000001</v>
      </c>
      <c r="CO98" s="107">
        <v>0.73080000000000001</v>
      </c>
      <c r="CP98" s="107">
        <v>0.6018</v>
      </c>
      <c r="CQ98" s="107">
        <v>0.96779999999999999</v>
      </c>
      <c r="CR98" s="107">
        <v>0.72420000000000007</v>
      </c>
      <c r="CS98" s="107">
        <v>0</v>
      </c>
      <c r="CT98" s="107">
        <v>0.84150000000000003</v>
      </c>
      <c r="CU98" s="107"/>
      <c r="CV98" s="107">
        <v>25.012499999999999</v>
      </c>
      <c r="CW98" s="107">
        <f t="shared" si="56"/>
        <v>1.0874999999999999</v>
      </c>
      <c r="CX98" s="107">
        <f t="shared" si="57"/>
        <v>0.46860000000000002</v>
      </c>
      <c r="CY98" s="107">
        <f t="shared" si="58"/>
        <v>0.80240000000000011</v>
      </c>
      <c r="CZ98" s="107">
        <f t="shared" si="59"/>
        <v>1.1040999999999999</v>
      </c>
      <c r="DA98" s="107">
        <f t="shared" si="60"/>
        <v>1.9092000000000002</v>
      </c>
      <c r="DB98" s="107">
        <f t="shared" si="61"/>
        <v>0.73919999999999997</v>
      </c>
      <c r="DC98" s="107">
        <f t="shared" si="78"/>
        <v>0.73919999999999997</v>
      </c>
      <c r="DD98" s="107">
        <f t="shared" si="65"/>
        <v>0.62539999999999996</v>
      </c>
      <c r="DE98" s="107">
        <f t="shared" si="64"/>
        <v>0.62539999999999996</v>
      </c>
      <c r="DF98" s="107">
        <f t="shared" si="66"/>
        <v>0.76679999999999993</v>
      </c>
      <c r="DG98" s="107">
        <f t="shared" si="67"/>
        <v>0</v>
      </c>
      <c r="DH98" s="107">
        <f t="shared" si="68"/>
        <v>0.88739999999999997</v>
      </c>
      <c r="DI98" s="107"/>
      <c r="DJ98" s="107"/>
      <c r="DK98" s="107"/>
      <c r="DL98" s="107"/>
      <c r="DM98" s="107"/>
      <c r="DN98" s="107"/>
      <c r="DO98" s="107"/>
      <c r="DP98" s="107"/>
      <c r="DQ98">
        <f t="shared" si="69"/>
        <v>1.0780000000000001</v>
      </c>
      <c r="DR98">
        <f t="shared" si="92"/>
        <v>1.155</v>
      </c>
      <c r="DS98">
        <f t="shared" si="79"/>
        <v>0</v>
      </c>
      <c r="DT98">
        <f t="shared" si="80"/>
        <v>0</v>
      </c>
      <c r="DU98"/>
      <c r="DV98" s="32"/>
      <c r="DW98" s="54">
        <f t="shared" si="81"/>
        <v>0</v>
      </c>
      <c r="DX98" s="33">
        <v>0</v>
      </c>
      <c r="DY98" s="34"/>
      <c r="DZ98" s="34"/>
      <c r="EA98" s="35"/>
      <c r="EB98" s="36">
        <f t="shared" si="71"/>
        <v>0</v>
      </c>
      <c r="EC98" s="80"/>
      <c r="ED98" s="80"/>
      <c r="EE98" s="80"/>
      <c r="EF98" s="383"/>
      <c r="EG98" s="392">
        <f>BX98*0.207</f>
        <v>0.31878000000000001</v>
      </c>
      <c r="EH98" s="80"/>
      <c r="EI98" s="38" t="str">
        <f t="shared" si="90"/>
        <v/>
      </c>
      <c r="EJ98" s="37"/>
      <c r="EK98" s="37"/>
      <c r="EL98" s="37"/>
      <c r="EM98" s="37"/>
      <c r="EN98" s="37"/>
      <c r="EO98" s="37"/>
      <c r="EP98" s="37"/>
      <c r="EQ98" s="89"/>
      <c r="ER98" s="37"/>
      <c r="ES98" s="37"/>
      <c r="ET98" s="37"/>
      <c r="EU98" s="37"/>
      <c r="EV98" s="37"/>
      <c r="EW98" s="37"/>
      <c r="EX98" s="37"/>
      <c r="EY98" s="37"/>
      <c r="EZ98" s="37"/>
      <c r="FA98" s="37"/>
      <c r="FB98" s="37"/>
      <c r="FC98" s="37"/>
      <c r="FD98" s="37"/>
      <c r="FE98" s="37"/>
      <c r="FF98" s="37"/>
      <c r="FG98" s="37"/>
      <c r="FH98" s="37"/>
      <c r="FI98" s="37"/>
      <c r="FJ98" s="37"/>
      <c r="FK98" s="47"/>
      <c r="FL98" s="37"/>
      <c r="FM98" s="48">
        <f t="shared" si="73"/>
        <v>0.80373154605561092</v>
      </c>
      <c r="FN98" s="48">
        <f t="shared" si="74"/>
        <v>0.72674576578208516</v>
      </c>
      <c r="FO98" s="142">
        <f t="shared" si="75"/>
        <v>1.1059322033898302</v>
      </c>
      <c r="FP98" s="142">
        <f t="shared" si="76"/>
        <v>0</v>
      </c>
      <c r="FQ98" s="180">
        <f t="shared" si="77"/>
        <v>3.0457931034482754E-2</v>
      </c>
    </row>
    <row r="99" spans="1:173" ht="12.75" customHeight="1" x14ac:dyDescent="0.15">
      <c r="A99" s="134">
        <v>90</v>
      </c>
      <c r="B99" t="s">
        <v>302</v>
      </c>
      <c r="D99">
        <v>7995</v>
      </c>
      <c r="E99">
        <v>7835</v>
      </c>
      <c r="F99">
        <v>6895</v>
      </c>
      <c r="K99">
        <v>97</v>
      </c>
      <c r="M99">
        <v>0</v>
      </c>
      <c r="AD99" s="136">
        <v>73.72</v>
      </c>
      <c r="CF99" s="4">
        <v>0</v>
      </c>
      <c r="CH99" s="107">
        <v>0</v>
      </c>
      <c r="CI99" s="107">
        <v>0</v>
      </c>
      <c r="CJ99" s="107">
        <v>0</v>
      </c>
      <c r="CK99" s="107">
        <v>0</v>
      </c>
      <c r="CL99" s="107">
        <v>0</v>
      </c>
      <c r="CM99" s="107">
        <v>0</v>
      </c>
      <c r="CN99" s="107">
        <v>0</v>
      </c>
      <c r="CO99" s="107">
        <v>0</v>
      </c>
      <c r="CP99" s="107">
        <v>0</v>
      </c>
      <c r="CQ99" s="107">
        <v>0</v>
      </c>
      <c r="CR99" s="107">
        <v>0</v>
      </c>
      <c r="CS99" s="107">
        <v>0</v>
      </c>
      <c r="CT99" s="107">
        <v>0</v>
      </c>
      <c r="CU99" s="107"/>
      <c r="CV99" s="107">
        <v>0</v>
      </c>
      <c r="CW99" s="107">
        <f t="shared" si="56"/>
        <v>0</v>
      </c>
      <c r="CX99" s="107">
        <f t="shared" si="57"/>
        <v>0</v>
      </c>
      <c r="CY99" s="107">
        <f t="shared" si="58"/>
        <v>0</v>
      </c>
      <c r="CZ99" s="107">
        <f t="shared" si="59"/>
        <v>0</v>
      </c>
      <c r="DA99" s="107">
        <f t="shared" si="60"/>
        <v>0</v>
      </c>
      <c r="DB99" s="107">
        <f t="shared" si="61"/>
        <v>0</v>
      </c>
      <c r="DC99" s="107">
        <f t="shared" si="78"/>
        <v>0</v>
      </c>
      <c r="DD99" s="107">
        <f t="shared" si="65"/>
        <v>0</v>
      </c>
      <c r="DE99" s="107">
        <f t="shared" si="64"/>
        <v>0</v>
      </c>
      <c r="DF99" s="107">
        <f t="shared" si="66"/>
        <v>0</v>
      </c>
      <c r="DG99" s="107">
        <f t="shared" si="67"/>
        <v>0</v>
      </c>
      <c r="DH99" s="107">
        <f t="shared" si="68"/>
        <v>0</v>
      </c>
      <c r="DI99" s="107"/>
      <c r="DJ99" s="107"/>
      <c r="DK99" s="107"/>
      <c r="DL99" s="107"/>
      <c r="DM99" s="107"/>
      <c r="DN99" s="107"/>
      <c r="DO99" s="107"/>
      <c r="DP99" s="107"/>
      <c r="DQ99">
        <f t="shared" si="69"/>
        <v>0</v>
      </c>
      <c r="DR99">
        <f t="shared" si="92"/>
        <v>0</v>
      </c>
      <c r="DS99">
        <f t="shared" si="79"/>
        <v>0</v>
      </c>
      <c r="DT99">
        <f t="shared" si="80"/>
        <v>0</v>
      </c>
      <c r="DU99"/>
      <c r="DV99" s="32"/>
      <c r="DW99" s="54">
        <f t="shared" si="81"/>
        <v>800</v>
      </c>
      <c r="DX99" s="33">
        <v>0.4</v>
      </c>
      <c r="DY99" s="34">
        <v>7110</v>
      </c>
      <c r="DZ99" s="34">
        <v>7110</v>
      </c>
      <c r="EA99" s="149">
        <v>0</v>
      </c>
      <c r="EB99" s="36">
        <f t="shared" si="71"/>
        <v>0</v>
      </c>
      <c r="EC99" s="37">
        <v>3.1</v>
      </c>
      <c r="ED99" s="80">
        <v>0</v>
      </c>
      <c r="EE99" s="81">
        <v>0</v>
      </c>
      <c r="EF99" s="81"/>
      <c r="EG99" s="393"/>
      <c r="EH99" s="37">
        <v>440</v>
      </c>
      <c r="EI99" s="38" t="str">
        <f t="shared" si="90"/>
        <v/>
      </c>
      <c r="EJ99" s="37"/>
      <c r="EK99" s="37"/>
      <c r="EL99" s="37"/>
      <c r="EM99" s="37"/>
      <c r="EN99" s="37"/>
      <c r="EO99" s="37"/>
      <c r="EP99" s="37"/>
      <c r="EQ99" s="37"/>
      <c r="ER99" s="37"/>
      <c r="ES99" s="37"/>
      <c r="ET99" s="37"/>
      <c r="EU99" s="37"/>
      <c r="EV99" s="37"/>
      <c r="EW99" s="37"/>
      <c r="EX99" s="37"/>
      <c r="EY99" s="37"/>
      <c r="EZ99" s="37"/>
      <c r="FA99" s="37"/>
      <c r="FB99" s="37"/>
      <c r="FC99" s="37"/>
      <c r="FD99" s="37"/>
      <c r="FE99" s="37"/>
      <c r="FF99" s="37"/>
      <c r="FG99" s="37"/>
      <c r="FH99" s="37"/>
      <c r="FI99" s="37">
        <v>2.8</v>
      </c>
      <c r="FJ99" s="37">
        <v>0.6</v>
      </c>
      <c r="FK99" s="47">
        <f>SUM(FI99:FJ99)/100*K99</f>
        <v>3.298</v>
      </c>
      <c r="FL99" s="37"/>
      <c r="FM99" s="48" t="e">
        <f t="shared" si="73"/>
        <v>#DIV/0!</v>
      </c>
      <c r="FN99" s="48" t="e">
        <f t="shared" si="74"/>
        <v>#DIV/0!</v>
      </c>
      <c r="FO99" s="142" t="e">
        <f t="shared" si="75"/>
        <v>#DIV/0!</v>
      </c>
      <c r="FP99" s="142" t="e">
        <f t="shared" si="76"/>
        <v>#DIV/0!</v>
      </c>
      <c r="FQ99" s="180" t="e">
        <f t="shared" si="77"/>
        <v>#DIV/0!</v>
      </c>
    </row>
    <row r="100" spans="1:173" ht="12.75" customHeight="1" x14ac:dyDescent="0.15">
      <c r="A100" s="134">
        <v>91</v>
      </c>
      <c r="B100" t="s">
        <v>303</v>
      </c>
      <c r="D100">
        <v>8290</v>
      </c>
      <c r="E100">
        <v>8124</v>
      </c>
      <c r="F100">
        <v>7149</v>
      </c>
      <c r="K100">
        <v>97</v>
      </c>
      <c r="M100">
        <v>0</v>
      </c>
      <c r="AD100" s="136">
        <v>73.72</v>
      </c>
      <c r="CF100" s="4">
        <v>0</v>
      </c>
      <c r="CH100" s="107">
        <v>0</v>
      </c>
      <c r="CI100" s="107">
        <v>0</v>
      </c>
      <c r="CJ100" s="107">
        <v>0</v>
      </c>
      <c r="CK100" s="107">
        <v>0</v>
      </c>
      <c r="CL100" s="107">
        <v>0</v>
      </c>
      <c r="CM100" s="107">
        <v>0</v>
      </c>
      <c r="CN100" s="107">
        <v>0</v>
      </c>
      <c r="CO100" s="107">
        <v>0</v>
      </c>
      <c r="CP100" s="107">
        <v>0</v>
      </c>
      <c r="CQ100" s="107">
        <v>0</v>
      </c>
      <c r="CR100" s="107">
        <v>0</v>
      </c>
      <c r="CS100" s="107">
        <v>0</v>
      </c>
      <c r="CT100" s="107">
        <v>0</v>
      </c>
      <c r="CU100" s="107"/>
      <c r="CV100" s="107">
        <v>0</v>
      </c>
      <c r="CW100" s="107">
        <f t="shared" si="56"/>
        <v>0</v>
      </c>
      <c r="CX100" s="107">
        <f t="shared" si="57"/>
        <v>0</v>
      </c>
      <c r="CY100" s="107">
        <f t="shared" si="58"/>
        <v>0</v>
      </c>
      <c r="CZ100" s="107">
        <f t="shared" si="59"/>
        <v>0</v>
      </c>
      <c r="DA100" s="107">
        <f t="shared" si="60"/>
        <v>0</v>
      </c>
      <c r="DB100" s="107">
        <f t="shared" si="61"/>
        <v>0</v>
      </c>
      <c r="DC100" s="107">
        <f t="shared" si="78"/>
        <v>0</v>
      </c>
      <c r="DD100" s="107">
        <f t="shared" si="65"/>
        <v>0</v>
      </c>
      <c r="DE100" s="107">
        <f t="shared" si="64"/>
        <v>0</v>
      </c>
      <c r="DF100" s="107">
        <f t="shared" si="66"/>
        <v>0</v>
      </c>
      <c r="DG100" s="107">
        <f t="shared" si="67"/>
        <v>0</v>
      </c>
      <c r="DH100" s="107">
        <f t="shared" si="68"/>
        <v>0</v>
      </c>
      <c r="DI100" s="107"/>
      <c r="DJ100" s="107"/>
      <c r="DK100" s="107"/>
      <c r="DL100" s="107"/>
      <c r="DM100" s="107"/>
      <c r="DN100" s="107"/>
      <c r="DO100" s="107"/>
      <c r="DP100" s="107"/>
      <c r="DQ100">
        <f t="shared" si="69"/>
        <v>0</v>
      </c>
      <c r="DR100">
        <f t="shared" si="92"/>
        <v>0</v>
      </c>
      <c r="DS100">
        <f t="shared" si="79"/>
        <v>0</v>
      </c>
      <c r="DT100">
        <f t="shared" si="80"/>
        <v>0</v>
      </c>
      <c r="DU100"/>
      <c r="DV100" s="32"/>
      <c r="DW100" s="54">
        <f t="shared" si="81"/>
        <v>840</v>
      </c>
      <c r="DX100" s="33">
        <v>0.42</v>
      </c>
      <c r="DY100" s="34">
        <v>7110</v>
      </c>
      <c r="DZ100" s="34">
        <v>7110</v>
      </c>
      <c r="EA100" s="149">
        <v>0</v>
      </c>
      <c r="EB100" s="36">
        <f t="shared" si="71"/>
        <v>0</v>
      </c>
      <c r="EC100" s="37">
        <v>11.6</v>
      </c>
      <c r="ED100" s="80">
        <v>0</v>
      </c>
      <c r="EE100" s="81">
        <v>0</v>
      </c>
      <c r="EF100" s="81"/>
      <c r="EG100" s="393"/>
      <c r="EH100" s="37">
        <v>600</v>
      </c>
      <c r="EI100" s="38" t="str">
        <f t="shared" si="90"/>
        <v/>
      </c>
      <c r="EJ100" s="37"/>
      <c r="EK100" s="37"/>
      <c r="EL100" s="37"/>
      <c r="EM100" s="37"/>
      <c r="EN100" s="37"/>
      <c r="EO100" s="37"/>
      <c r="EP100" s="37"/>
      <c r="EQ100" s="37"/>
      <c r="ER100" s="37"/>
      <c r="ES100" s="37"/>
      <c r="ET100" s="37"/>
      <c r="EU100" s="37"/>
      <c r="EV100" s="37"/>
      <c r="EW100" s="37"/>
      <c r="EX100" s="37"/>
      <c r="EY100" s="37"/>
      <c r="EZ100" s="37"/>
      <c r="FA100" s="37"/>
      <c r="FB100" s="37"/>
      <c r="FC100" s="37"/>
      <c r="FD100" s="37"/>
      <c r="FE100" s="37"/>
      <c r="FF100" s="37"/>
      <c r="FG100" s="37"/>
      <c r="FH100" s="37"/>
      <c r="FI100" s="37">
        <v>9.1999999999999993</v>
      </c>
      <c r="FJ100" s="37">
        <v>0.9</v>
      </c>
      <c r="FK100" s="47">
        <f>SUM(FI100:FJ100)/100*K100</f>
        <v>9.7969999999999988</v>
      </c>
      <c r="FL100" s="37"/>
      <c r="FM100" s="48" t="e">
        <f t="shared" si="73"/>
        <v>#DIV/0!</v>
      </c>
      <c r="FN100" s="48" t="e">
        <f t="shared" si="74"/>
        <v>#DIV/0!</v>
      </c>
      <c r="FO100" s="142" t="e">
        <f t="shared" si="75"/>
        <v>#DIV/0!</v>
      </c>
      <c r="FP100" s="142" t="e">
        <f t="shared" si="76"/>
        <v>#DIV/0!</v>
      </c>
      <c r="FQ100" s="180" t="e">
        <f t="shared" si="77"/>
        <v>#DIV/0!</v>
      </c>
    </row>
    <row r="101" spans="1:173" ht="12.75" customHeight="1" x14ac:dyDescent="0.15">
      <c r="A101" s="134">
        <v>92</v>
      </c>
      <c r="B101" t="s">
        <v>304</v>
      </c>
      <c r="D101">
        <v>8535</v>
      </c>
      <c r="E101">
        <v>8364</v>
      </c>
      <c r="F101">
        <v>7361</v>
      </c>
      <c r="K101">
        <v>97</v>
      </c>
      <c r="M101">
        <v>0</v>
      </c>
      <c r="AD101" s="136">
        <v>73.72</v>
      </c>
      <c r="CF101" s="4">
        <v>0</v>
      </c>
      <c r="CH101" s="107">
        <v>0</v>
      </c>
      <c r="CI101" s="107">
        <v>0</v>
      </c>
      <c r="CJ101" s="107">
        <v>0</v>
      </c>
      <c r="CK101" s="107">
        <v>0</v>
      </c>
      <c r="CL101" s="107">
        <v>0</v>
      </c>
      <c r="CM101" s="107">
        <v>0</v>
      </c>
      <c r="CN101" s="107">
        <v>0</v>
      </c>
      <c r="CO101" s="107">
        <v>0</v>
      </c>
      <c r="CP101" s="107">
        <v>0</v>
      </c>
      <c r="CQ101" s="107">
        <v>0</v>
      </c>
      <c r="CR101" s="107">
        <v>0</v>
      </c>
      <c r="CS101" s="107">
        <v>0</v>
      </c>
      <c r="CT101" s="107">
        <v>0</v>
      </c>
      <c r="CU101" s="107"/>
      <c r="CV101" s="107">
        <v>0</v>
      </c>
      <c r="CW101" s="107">
        <f t="shared" si="56"/>
        <v>0</v>
      </c>
      <c r="CX101" s="107">
        <f t="shared" si="57"/>
        <v>0</v>
      </c>
      <c r="CY101" s="107">
        <f t="shared" si="58"/>
        <v>0</v>
      </c>
      <c r="CZ101" s="107">
        <f t="shared" si="59"/>
        <v>0</v>
      </c>
      <c r="DA101" s="107">
        <f t="shared" si="60"/>
        <v>0</v>
      </c>
      <c r="DB101" s="107">
        <f t="shared" si="61"/>
        <v>0</v>
      </c>
      <c r="DC101" s="107">
        <f t="shared" si="78"/>
        <v>0</v>
      </c>
      <c r="DD101" s="107">
        <f t="shared" si="65"/>
        <v>0</v>
      </c>
      <c r="DE101" s="107">
        <f t="shared" si="64"/>
        <v>0</v>
      </c>
      <c r="DF101" s="107">
        <f t="shared" si="66"/>
        <v>0</v>
      </c>
      <c r="DG101" s="107">
        <f t="shared" si="67"/>
        <v>0</v>
      </c>
      <c r="DH101" s="107">
        <f t="shared" si="68"/>
        <v>0</v>
      </c>
      <c r="DI101" s="107"/>
      <c r="DJ101" s="107"/>
      <c r="DK101" s="107"/>
      <c r="DL101" s="107"/>
      <c r="DM101" s="107"/>
      <c r="DN101" s="107"/>
      <c r="DO101" s="107"/>
      <c r="DP101" s="107"/>
      <c r="DQ101">
        <f t="shared" si="69"/>
        <v>0</v>
      </c>
      <c r="DR101">
        <f t="shared" si="92"/>
        <v>0</v>
      </c>
      <c r="DS101">
        <f t="shared" si="79"/>
        <v>0</v>
      </c>
      <c r="DT101">
        <f t="shared" si="80"/>
        <v>0</v>
      </c>
      <c r="DU101"/>
      <c r="DV101" s="32"/>
      <c r="DW101" s="54">
        <f t="shared" si="81"/>
        <v>5400</v>
      </c>
      <c r="DX101" s="33">
        <v>2.7</v>
      </c>
      <c r="DY101" s="34">
        <v>4130</v>
      </c>
      <c r="DZ101" s="34">
        <v>4130</v>
      </c>
      <c r="EA101" s="35"/>
      <c r="EB101" s="36">
        <f t="shared" si="71"/>
        <v>0</v>
      </c>
      <c r="EC101" s="80">
        <v>0</v>
      </c>
      <c r="ED101" s="80">
        <v>0</v>
      </c>
      <c r="EE101" s="80">
        <v>0</v>
      </c>
      <c r="EF101" s="383"/>
      <c r="EG101" s="394"/>
      <c r="EH101" s="80">
        <v>0</v>
      </c>
      <c r="EI101" s="38" t="str">
        <f t="shared" si="90"/>
        <v/>
      </c>
      <c r="EJ101" s="37"/>
      <c r="EK101" s="37"/>
      <c r="EL101" s="37"/>
      <c r="EM101" s="37"/>
      <c r="EN101" s="37"/>
      <c r="EO101" s="37"/>
      <c r="EP101" s="37"/>
      <c r="EQ101" s="37"/>
      <c r="ER101" s="37"/>
      <c r="ES101" s="37"/>
      <c r="ET101" s="37"/>
      <c r="EU101" s="37"/>
      <c r="EV101" s="37"/>
      <c r="EW101" s="37"/>
      <c r="EX101" s="37"/>
      <c r="EY101" s="37"/>
      <c r="EZ101" s="37"/>
      <c r="FA101" s="37"/>
      <c r="FB101" s="37"/>
      <c r="FC101" s="37"/>
      <c r="FD101" s="37"/>
      <c r="FE101" s="37"/>
      <c r="FF101" s="37"/>
      <c r="FG101" s="37"/>
      <c r="FH101" s="37"/>
      <c r="FI101" s="37">
        <v>20.6</v>
      </c>
      <c r="FJ101" s="37">
        <v>1.6</v>
      </c>
      <c r="FK101" s="47">
        <f>SUM(FI101:FJ101)/100*K101</f>
        <v>21.534000000000002</v>
      </c>
      <c r="FL101" s="37"/>
      <c r="FM101" s="48" t="e">
        <f t="shared" si="73"/>
        <v>#DIV/0!</v>
      </c>
      <c r="FN101" s="48" t="e">
        <f t="shared" si="74"/>
        <v>#DIV/0!</v>
      </c>
      <c r="FO101" s="142" t="e">
        <f t="shared" si="75"/>
        <v>#DIV/0!</v>
      </c>
      <c r="FP101" s="142" t="e">
        <f t="shared" si="76"/>
        <v>#DIV/0!</v>
      </c>
      <c r="FQ101" s="180" t="e">
        <f t="shared" si="77"/>
        <v>#DIV/0!</v>
      </c>
    </row>
    <row r="102" spans="1:173" ht="12.75" customHeight="1" x14ac:dyDescent="0.15">
      <c r="A102" s="134">
        <v>93</v>
      </c>
      <c r="B102" t="s">
        <v>305</v>
      </c>
      <c r="D102">
        <v>8288</v>
      </c>
      <c r="E102">
        <v>8123</v>
      </c>
      <c r="F102">
        <v>7148</v>
      </c>
      <c r="K102">
        <v>97</v>
      </c>
      <c r="M102">
        <v>0</v>
      </c>
      <c r="AD102" s="136">
        <v>73.72</v>
      </c>
      <c r="CF102" s="4">
        <v>0</v>
      </c>
      <c r="CH102" s="107">
        <v>0</v>
      </c>
      <c r="CI102" s="107">
        <v>0</v>
      </c>
      <c r="CJ102" s="107">
        <v>0</v>
      </c>
      <c r="CK102" s="107">
        <v>0</v>
      </c>
      <c r="CL102" s="107">
        <v>0</v>
      </c>
      <c r="CM102" s="107">
        <v>0</v>
      </c>
      <c r="CN102" s="107">
        <v>0</v>
      </c>
      <c r="CO102" s="107">
        <v>0</v>
      </c>
      <c r="CP102" s="107">
        <v>0</v>
      </c>
      <c r="CQ102" s="107">
        <v>0</v>
      </c>
      <c r="CR102" s="107">
        <v>0</v>
      </c>
      <c r="CS102" s="107">
        <v>0</v>
      </c>
      <c r="CT102" s="107">
        <v>0</v>
      </c>
      <c r="CU102" s="107"/>
      <c r="CV102" s="107">
        <v>0</v>
      </c>
      <c r="CW102" s="107">
        <f t="shared" ref="CW102:CW129" si="102">AF102*AZ102/100</f>
        <v>0</v>
      </c>
      <c r="CX102" s="107">
        <f t="shared" ref="CX102:CX129" si="103">AG102*BA102/100</f>
        <v>0</v>
      </c>
      <c r="CY102" s="107">
        <f t="shared" ref="CY102:CY129" si="104">AH102*BB102/100</f>
        <v>0</v>
      </c>
      <c r="CZ102" s="107">
        <f t="shared" ref="CZ102:CZ129" si="105">AI102*BC102/100</f>
        <v>0</v>
      </c>
      <c r="DA102" s="107">
        <f t="shared" ref="DA102:DA129" si="106">AJ102*BD102/100</f>
        <v>0</v>
      </c>
      <c r="DB102" s="107">
        <f t="shared" ref="DB102:DB129" si="107">AK102*BE102/100</f>
        <v>0</v>
      </c>
      <c r="DC102" s="107">
        <f t="shared" si="78"/>
        <v>0</v>
      </c>
      <c r="DD102" s="107">
        <f t="shared" si="65"/>
        <v>0</v>
      </c>
      <c r="DE102" s="107">
        <f t="shared" si="64"/>
        <v>0</v>
      </c>
      <c r="DF102" s="107">
        <f t="shared" si="66"/>
        <v>0</v>
      </c>
      <c r="DG102" s="107">
        <f t="shared" si="67"/>
        <v>0</v>
      </c>
      <c r="DH102" s="107">
        <f t="shared" si="68"/>
        <v>0</v>
      </c>
      <c r="DI102" s="107"/>
      <c r="DJ102" s="107"/>
      <c r="DK102" s="107"/>
      <c r="DL102" s="107"/>
      <c r="DM102" s="107"/>
      <c r="DN102" s="107"/>
      <c r="DO102" s="107"/>
      <c r="DP102" s="107"/>
      <c r="DQ102">
        <f t="shared" si="69"/>
        <v>0</v>
      </c>
      <c r="DR102">
        <f t="shared" si="92"/>
        <v>0</v>
      </c>
      <c r="DS102">
        <f t="shared" si="79"/>
        <v>0</v>
      </c>
      <c r="DT102">
        <f t="shared" si="80"/>
        <v>0</v>
      </c>
      <c r="DU102"/>
      <c r="DV102" s="32"/>
      <c r="DW102" s="54">
        <f t="shared" si="81"/>
        <v>2500</v>
      </c>
      <c r="DX102" s="33">
        <v>1.25</v>
      </c>
      <c r="DY102" s="34">
        <v>2930</v>
      </c>
      <c r="DZ102" s="34">
        <v>2930</v>
      </c>
      <c r="EA102" s="35"/>
      <c r="EB102" s="36">
        <f t="shared" si="71"/>
        <v>0</v>
      </c>
      <c r="EC102" s="80">
        <v>0</v>
      </c>
      <c r="ED102" s="80">
        <v>0</v>
      </c>
      <c r="EE102" s="80">
        <v>0</v>
      </c>
      <c r="EF102" s="383"/>
      <c r="EG102" s="394"/>
      <c r="EH102" s="80">
        <v>0</v>
      </c>
      <c r="EI102" s="38" t="str">
        <f t="shared" si="90"/>
        <v/>
      </c>
      <c r="EJ102" s="37"/>
      <c r="EK102" s="37"/>
      <c r="EL102" s="37"/>
      <c r="EM102" s="37"/>
      <c r="EN102" s="37"/>
      <c r="EO102" s="37"/>
      <c r="EP102" s="37"/>
      <c r="EQ102" s="37"/>
      <c r="ER102" s="37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  <c r="FF102" s="37"/>
      <c r="FG102" s="37"/>
      <c r="FH102" s="37"/>
      <c r="FI102" s="37">
        <v>9.1999999999999993</v>
      </c>
      <c r="FJ102" s="37">
        <v>0.9</v>
      </c>
      <c r="FK102" s="47">
        <f>SUM(FI102:FJ102)/100*K102</f>
        <v>9.7969999999999988</v>
      </c>
      <c r="FL102" s="37"/>
      <c r="FM102" s="48" t="e">
        <f t="shared" si="73"/>
        <v>#DIV/0!</v>
      </c>
      <c r="FN102" s="48" t="e">
        <f t="shared" si="74"/>
        <v>#DIV/0!</v>
      </c>
      <c r="FO102" s="142" t="e">
        <f t="shared" si="75"/>
        <v>#DIV/0!</v>
      </c>
      <c r="FP102" s="142" t="e">
        <f t="shared" si="76"/>
        <v>#DIV/0!</v>
      </c>
      <c r="FQ102" s="180" t="e">
        <f t="shared" si="77"/>
        <v>#DIV/0!</v>
      </c>
    </row>
    <row r="103" spans="1:173" ht="12.75" customHeight="1" x14ac:dyDescent="0.15">
      <c r="A103" s="134">
        <v>94</v>
      </c>
      <c r="B103" t="s">
        <v>306</v>
      </c>
      <c r="D103">
        <v>8550</v>
      </c>
      <c r="E103">
        <v>8379</v>
      </c>
      <c r="F103">
        <v>7374</v>
      </c>
      <c r="K103">
        <v>97</v>
      </c>
      <c r="M103">
        <v>0</v>
      </c>
      <c r="AD103" s="136">
        <v>73.72</v>
      </c>
      <c r="CF103" s="4">
        <v>0</v>
      </c>
      <c r="CH103" s="107">
        <v>0</v>
      </c>
      <c r="CI103" s="107">
        <v>0</v>
      </c>
      <c r="CJ103" s="107">
        <v>0</v>
      </c>
      <c r="CK103" s="107">
        <v>0</v>
      </c>
      <c r="CL103" s="107">
        <v>0</v>
      </c>
      <c r="CM103" s="107">
        <v>0</v>
      </c>
      <c r="CN103" s="107">
        <v>0</v>
      </c>
      <c r="CO103" s="107">
        <v>0</v>
      </c>
      <c r="CP103" s="107">
        <v>0</v>
      </c>
      <c r="CQ103" s="107">
        <v>0</v>
      </c>
      <c r="CR103" s="107">
        <v>0</v>
      </c>
      <c r="CS103" s="107">
        <v>0</v>
      </c>
      <c r="CT103" s="107">
        <v>0</v>
      </c>
      <c r="CU103" s="107"/>
      <c r="CV103" s="107">
        <v>0</v>
      </c>
      <c r="CW103" s="107">
        <f t="shared" si="102"/>
        <v>0</v>
      </c>
      <c r="CX103" s="107">
        <f t="shared" si="103"/>
        <v>0</v>
      </c>
      <c r="CY103" s="107">
        <f t="shared" si="104"/>
        <v>0</v>
      </c>
      <c r="CZ103" s="107">
        <f t="shared" si="105"/>
        <v>0</v>
      </c>
      <c r="DA103" s="107">
        <f t="shared" si="106"/>
        <v>0</v>
      </c>
      <c r="DB103" s="107">
        <f t="shared" si="107"/>
        <v>0</v>
      </c>
      <c r="DC103" s="107">
        <f t="shared" si="78"/>
        <v>0</v>
      </c>
      <c r="DD103" s="107">
        <f t="shared" si="65"/>
        <v>0</v>
      </c>
      <c r="DE103" s="107">
        <f t="shared" si="64"/>
        <v>0</v>
      </c>
      <c r="DF103" s="107">
        <f t="shared" si="66"/>
        <v>0</v>
      </c>
      <c r="DG103" s="107">
        <f t="shared" si="67"/>
        <v>0</v>
      </c>
      <c r="DH103" s="107">
        <f t="shared" si="68"/>
        <v>0</v>
      </c>
      <c r="DI103" s="107"/>
      <c r="DJ103" s="107"/>
      <c r="DK103" s="107"/>
      <c r="DL103" s="107"/>
      <c r="DM103" s="107"/>
      <c r="DN103" s="107"/>
      <c r="DO103" s="107"/>
      <c r="DP103" s="107"/>
      <c r="DQ103">
        <f t="shared" si="69"/>
        <v>0</v>
      </c>
      <c r="DR103">
        <f t="shared" si="92"/>
        <v>0</v>
      </c>
      <c r="DS103">
        <f t="shared" si="79"/>
        <v>0</v>
      </c>
      <c r="DT103">
        <f t="shared" si="80"/>
        <v>0</v>
      </c>
      <c r="DU103"/>
      <c r="DV103" s="32"/>
      <c r="DW103" s="54">
        <f t="shared" si="81"/>
        <v>760</v>
      </c>
      <c r="DX103" s="33">
        <v>0.38</v>
      </c>
      <c r="DY103" s="34">
        <v>7110</v>
      </c>
      <c r="DZ103" s="34">
        <v>7110</v>
      </c>
      <c r="EA103" s="149">
        <v>0</v>
      </c>
      <c r="EB103" s="36">
        <f t="shared" si="71"/>
        <v>0</v>
      </c>
      <c r="EC103" s="37">
        <v>17.5</v>
      </c>
      <c r="ED103" s="80">
        <v>0</v>
      </c>
      <c r="EE103" s="81">
        <v>0</v>
      </c>
      <c r="EF103" s="81"/>
      <c r="EG103" s="393"/>
      <c r="EH103" s="37">
        <v>750</v>
      </c>
      <c r="EI103" s="38" t="str">
        <f t="shared" si="90"/>
        <v/>
      </c>
      <c r="EJ103" s="37"/>
      <c r="EK103" s="37"/>
      <c r="EL103" s="37"/>
      <c r="EM103" s="37"/>
      <c r="EN103" s="37"/>
      <c r="EO103" s="37"/>
      <c r="EP103" s="37"/>
      <c r="EQ103" s="37"/>
      <c r="ER103" s="37"/>
      <c r="ES103" s="37"/>
      <c r="ET103" s="37"/>
      <c r="EU103" s="37"/>
      <c r="EV103" s="37"/>
      <c r="EW103" s="37"/>
      <c r="EX103" s="37"/>
      <c r="EY103" s="37"/>
      <c r="EZ103" s="37"/>
      <c r="FA103" s="37"/>
      <c r="FB103" s="37"/>
      <c r="FC103" s="37"/>
      <c r="FD103" s="37"/>
      <c r="FE103" s="37"/>
      <c r="FF103" s="37"/>
      <c r="FG103" s="37"/>
      <c r="FH103" s="37"/>
      <c r="FI103" s="37">
        <v>34.67</v>
      </c>
      <c r="FJ103" s="37">
        <v>0</v>
      </c>
      <c r="FK103" s="47">
        <f>SUM(FI103:FJ103)/100*K103</f>
        <v>33.629899999999999</v>
      </c>
      <c r="FL103" s="37"/>
      <c r="FM103" s="48" t="e">
        <f t="shared" si="73"/>
        <v>#DIV/0!</v>
      </c>
      <c r="FN103" s="48" t="e">
        <f t="shared" si="74"/>
        <v>#DIV/0!</v>
      </c>
      <c r="FO103" s="142" t="e">
        <f t="shared" si="75"/>
        <v>#DIV/0!</v>
      </c>
      <c r="FP103" s="142" t="e">
        <f t="shared" si="76"/>
        <v>#DIV/0!</v>
      </c>
      <c r="FQ103" s="180" t="e">
        <f t="shared" si="77"/>
        <v>#DIV/0!</v>
      </c>
    </row>
    <row r="104" spans="1:173" x14ac:dyDescent="0.15">
      <c r="A104" s="134">
        <v>99</v>
      </c>
      <c r="B104" t="s">
        <v>307</v>
      </c>
      <c r="D104">
        <v>8759</v>
      </c>
      <c r="E104">
        <v>8384</v>
      </c>
      <c r="F104">
        <v>7554</v>
      </c>
      <c r="K104">
        <v>97</v>
      </c>
      <c r="M104">
        <v>0</v>
      </c>
      <c r="AD104" s="136">
        <v>73.72</v>
      </c>
      <c r="CF104" s="4">
        <v>0</v>
      </c>
      <c r="CH104" s="107">
        <v>0</v>
      </c>
      <c r="CI104" s="107">
        <v>0</v>
      </c>
      <c r="CJ104" s="107">
        <v>0</v>
      </c>
      <c r="CK104" s="107">
        <v>0</v>
      </c>
      <c r="CL104" s="107">
        <v>0</v>
      </c>
      <c r="CM104" s="107">
        <v>0</v>
      </c>
      <c r="CN104" s="107">
        <v>0</v>
      </c>
      <c r="CO104" s="107">
        <v>0</v>
      </c>
      <c r="CP104" s="107">
        <v>0</v>
      </c>
      <c r="CQ104" s="107">
        <v>0</v>
      </c>
      <c r="CR104" s="107">
        <v>0</v>
      </c>
      <c r="CS104" s="107">
        <v>0</v>
      </c>
      <c r="CT104" s="107">
        <v>0</v>
      </c>
      <c r="CU104" s="107"/>
      <c r="CV104" s="107">
        <v>0</v>
      </c>
      <c r="CW104" s="107">
        <f t="shared" si="102"/>
        <v>0</v>
      </c>
      <c r="CX104" s="107">
        <f t="shared" si="103"/>
        <v>0</v>
      </c>
      <c r="CY104" s="107">
        <f t="shared" si="104"/>
        <v>0</v>
      </c>
      <c r="CZ104" s="107">
        <f t="shared" si="105"/>
        <v>0</v>
      </c>
      <c r="DA104" s="107">
        <f t="shared" si="106"/>
        <v>0</v>
      </c>
      <c r="DB104" s="107">
        <f t="shared" si="107"/>
        <v>0</v>
      </c>
      <c r="DC104" s="107">
        <f t="shared" si="78"/>
        <v>0</v>
      </c>
      <c r="DD104" s="107">
        <f t="shared" si="65"/>
        <v>0</v>
      </c>
      <c r="DE104" s="107">
        <f t="shared" si="64"/>
        <v>0</v>
      </c>
      <c r="DF104" s="107">
        <f t="shared" si="66"/>
        <v>0</v>
      </c>
      <c r="DG104" s="107">
        <f t="shared" si="67"/>
        <v>0</v>
      </c>
      <c r="DH104" s="107">
        <f t="shared" si="68"/>
        <v>0</v>
      </c>
      <c r="DI104" s="107"/>
      <c r="DJ104" s="107"/>
      <c r="DK104" s="107"/>
      <c r="DL104" s="107"/>
      <c r="DM104" s="107"/>
      <c r="DN104" s="107"/>
      <c r="DO104" s="107"/>
      <c r="DP104" s="107"/>
      <c r="DQ104">
        <f t="shared" si="69"/>
        <v>0</v>
      </c>
      <c r="DR104">
        <f t="shared" si="92"/>
        <v>0</v>
      </c>
      <c r="DS104">
        <f t="shared" si="79"/>
        <v>0</v>
      </c>
      <c r="DT104">
        <f t="shared" si="80"/>
        <v>0</v>
      </c>
      <c r="DU104"/>
      <c r="DV104" s="32"/>
      <c r="DW104" s="54">
        <f t="shared" si="81"/>
        <v>2400</v>
      </c>
      <c r="DX104" s="33">
        <v>1.2</v>
      </c>
      <c r="DY104" s="34">
        <v>3650</v>
      </c>
      <c r="DZ104" s="34">
        <v>3650</v>
      </c>
      <c r="EA104" s="35"/>
      <c r="EB104" s="36">
        <f t="shared" si="71"/>
        <v>0</v>
      </c>
      <c r="EC104" s="80">
        <v>0</v>
      </c>
      <c r="ED104" s="80">
        <v>0</v>
      </c>
      <c r="EE104" s="80">
        <v>0</v>
      </c>
      <c r="EF104" s="383"/>
      <c r="EG104" s="394"/>
      <c r="EH104" s="80">
        <v>0</v>
      </c>
      <c r="EI104" s="38" t="str">
        <f t="shared" si="90"/>
        <v/>
      </c>
      <c r="EJ104" s="37"/>
      <c r="EK104" s="37"/>
      <c r="EL104" s="37"/>
      <c r="EM104" s="37"/>
      <c r="EN104" s="37"/>
      <c r="EO104" s="37"/>
      <c r="EP104" s="37"/>
      <c r="EQ104" s="37"/>
      <c r="ER104" s="37"/>
      <c r="ES104" s="37"/>
      <c r="ET104" s="37"/>
      <c r="EU104" s="37"/>
      <c r="EV104" s="37"/>
      <c r="EW104" s="37"/>
      <c r="EX104" s="37"/>
      <c r="EY104" s="37"/>
      <c r="EZ104" s="37"/>
      <c r="FA104" s="37"/>
      <c r="FB104" s="37"/>
      <c r="FC104" s="37"/>
      <c r="FD104" s="37"/>
      <c r="FE104" s="37"/>
      <c r="FF104" s="37"/>
      <c r="FG104" s="37"/>
      <c r="FH104" s="37"/>
      <c r="FI104" s="37"/>
      <c r="FJ104" s="37"/>
      <c r="FK104" s="47"/>
      <c r="FL104" s="37"/>
      <c r="FM104" s="48" t="e">
        <f t="shared" si="73"/>
        <v>#DIV/0!</v>
      </c>
      <c r="FN104" s="48" t="e">
        <f t="shared" si="74"/>
        <v>#DIV/0!</v>
      </c>
      <c r="FO104" s="142" t="e">
        <f t="shared" si="75"/>
        <v>#DIV/0!</v>
      </c>
      <c r="FP104" s="142" t="e">
        <f t="shared" si="76"/>
        <v>#DIV/0!</v>
      </c>
      <c r="FQ104" s="180" t="e">
        <f t="shared" si="77"/>
        <v>#DIV/0!</v>
      </c>
    </row>
    <row r="105" spans="1:173" x14ac:dyDescent="0.15">
      <c r="A105" s="134">
        <v>100</v>
      </c>
      <c r="B105" t="s">
        <v>308</v>
      </c>
      <c r="D105">
        <v>7169</v>
      </c>
      <c r="E105">
        <v>7025</v>
      </c>
      <c r="F105">
        <v>6182</v>
      </c>
      <c r="K105">
        <v>97</v>
      </c>
      <c r="M105">
        <v>0</v>
      </c>
      <c r="AD105" s="136">
        <v>73.72</v>
      </c>
      <c r="CF105" s="4">
        <v>0</v>
      </c>
      <c r="CH105" s="107">
        <v>0</v>
      </c>
      <c r="CI105" s="107">
        <v>0</v>
      </c>
      <c r="CJ105" s="107">
        <v>0</v>
      </c>
      <c r="CK105" s="107">
        <v>0</v>
      </c>
      <c r="CL105" s="107">
        <v>0</v>
      </c>
      <c r="CM105" s="107">
        <v>0</v>
      </c>
      <c r="CN105" s="107">
        <v>0</v>
      </c>
      <c r="CO105" s="107">
        <v>0</v>
      </c>
      <c r="CP105" s="107">
        <v>0</v>
      </c>
      <c r="CQ105" s="107">
        <v>0</v>
      </c>
      <c r="CR105" s="107">
        <v>0</v>
      </c>
      <c r="CS105" s="107">
        <v>0</v>
      </c>
      <c r="CT105" s="107">
        <v>0</v>
      </c>
      <c r="CU105" s="107"/>
      <c r="CV105" s="107">
        <v>0</v>
      </c>
      <c r="CW105" s="107">
        <f t="shared" si="102"/>
        <v>0</v>
      </c>
      <c r="CX105" s="107">
        <f t="shared" si="103"/>
        <v>0</v>
      </c>
      <c r="CY105" s="107">
        <f t="shared" si="104"/>
        <v>0</v>
      </c>
      <c r="CZ105" s="107">
        <f t="shared" si="105"/>
        <v>0</v>
      </c>
      <c r="DA105" s="107">
        <f t="shared" si="106"/>
        <v>0</v>
      </c>
      <c r="DB105" s="107">
        <f t="shared" si="107"/>
        <v>0</v>
      </c>
      <c r="DC105" s="107">
        <f t="shared" si="78"/>
        <v>0</v>
      </c>
      <c r="DD105" s="107">
        <f t="shared" si="65"/>
        <v>0</v>
      </c>
      <c r="DE105" s="107">
        <f t="shared" si="64"/>
        <v>0</v>
      </c>
      <c r="DF105" s="107">
        <f t="shared" si="66"/>
        <v>0</v>
      </c>
      <c r="DG105" s="107">
        <f t="shared" si="67"/>
        <v>0</v>
      </c>
      <c r="DH105" s="107">
        <f t="shared" si="68"/>
        <v>0</v>
      </c>
      <c r="DI105" s="107"/>
      <c r="DJ105" s="107"/>
      <c r="DK105" s="107"/>
      <c r="DL105" s="107"/>
      <c r="DM105" s="107"/>
      <c r="DN105" s="107"/>
      <c r="DO105" s="107"/>
      <c r="DP105" s="107"/>
      <c r="DQ105">
        <f t="shared" si="69"/>
        <v>0</v>
      </c>
      <c r="DR105">
        <f t="shared" si="92"/>
        <v>0</v>
      </c>
      <c r="DS105">
        <f t="shared" si="79"/>
        <v>0</v>
      </c>
      <c r="DT105">
        <f t="shared" si="80"/>
        <v>0</v>
      </c>
      <c r="DU105"/>
      <c r="DV105" s="31"/>
      <c r="DW105" s="54">
        <f t="shared" si="81"/>
        <v>14000</v>
      </c>
      <c r="DX105" s="33">
        <v>7</v>
      </c>
      <c r="DY105" s="94">
        <f>E105*0.77</f>
        <v>5409.25</v>
      </c>
      <c r="DZ105" s="94">
        <f>E105*0.77</f>
        <v>5409.25</v>
      </c>
      <c r="EA105" s="35"/>
      <c r="EB105" s="36">
        <f t="shared" si="71"/>
        <v>0</v>
      </c>
      <c r="EC105" s="37"/>
      <c r="ED105" s="37"/>
      <c r="EE105" s="37"/>
      <c r="EF105" s="152"/>
      <c r="EG105" s="395"/>
      <c r="EH105" s="48"/>
      <c r="EI105" s="38" t="str">
        <f t="shared" si="90"/>
        <v/>
      </c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 s="118">
        <v>2.08</v>
      </c>
      <c r="FJ105" s="118">
        <v>0.06</v>
      </c>
      <c r="FK105" s="47">
        <f>SUM(FI105:FJ105)/100*K105</f>
        <v>2.0758000000000001</v>
      </c>
      <c r="FL105"/>
      <c r="FM105" s="48" t="e">
        <f t="shared" si="73"/>
        <v>#DIV/0!</v>
      </c>
      <c r="FN105" s="48" t="e">
        <f t="shared" si="74"/>
        <v>#DIV/0!</v>
      </c>
      <c r="FO105" s="142" t="e">
        <f t="shared" si="75"/>
        <v>#DIV/0!</v>
      </c>
      <c r="FP105" s="142" t="e">
        <f t="shared" si="76"/>
        <v>#DIV/0!</v>
      </c>
      <c r="FQ105" s="180" t="e">
        <f t="shared" si="77"/>
        <v>#DIV/0!</v>
      </c>
    </row>
    <row r="106" spans="1:173" x14ac:dyDescent="0.15">
      <c r="A106" s="134">
        <v>101</v>
      </c>
      <c r="B106" t="s">
        <v>309</v>
      </c>
      <c r="D106">
        <v>8754</v>
      </c>
      <c r="E106">
        <v>8579</v>
      </c>
      <c r="F106">
        <v>7549</v>
      </c>
      <c r="K106">
        <v>97</v>
      </c>
      <c r="M106">
        <v>0</v>
      </c>
      <c r="AD106" s="136">
        <v>73.72</v>
      </c>
      <c r="CF106" s="4">
        <v>0</v>
      </c>
      <c r="CH106" s="107">
        <v>0</v>
      </c>
      <c r="CI106" s="107">
        <v>0</v>
      </c>
      <c r="CJ106" s="107">
        <v>0</v>
      </c>
      <c r="CK106" s="107">
        <v>0</v>
      </c>
      <c r="CL106" s="107">
        <v>0</v>
      </c>
      <c r="CM106" s="107">
        <v>0</v>
      </c>
      <c r="CN106" s="107">
        <v>0</v>
      </c>
      <c r="CO106" s="107">
        <v>0</v>
      </c>
      <c r="CP106" s="107">
        <v>0</v>
      </c>
      <c r="CQ106" s="107">
        <v>0</v>
      </c>
      <c r="CR106" s="107">
        <v>0</v>
      </c>
      <c r="CS106" s="107">
        <v>0</v>
      </c>
      <c r="CT106" s="107">
        <v>0</v>
      </c>
      <c r="CU106" s="107"/>
      <c r="CV106" s="107">
        <v>0</v>
      </c>
      <c r="CW106" s="107">
        <f t="shared" si="102"/>
        <v>0</v>
      </c>
      <c r="CX106" s="107">
        <f t="shared" si="103"/>
        <v>0</v>
      </c>
      <c r="CY106" s="107">
        <f t="shared" si="104"/>
        <v>0</v>
      </c>
      <c r="CZ106" s="107">
        <f t="shared" si="105"/>
        <v>0</v>
      </c>
      <c r="DA106" s="107">
        <f t="shared" si="106"/>
        <v>0</v>
      </c>
      <c r="DB106" s="107">
        <f t="shared" si="107"/>
        <v>0</v>
      </c>
      <c r="DC106" s="107">
        <f t="shared" si="78"/>
        <v>0</v>
      </c>
      <c r="DD106" s="107">
        <f t="shared" si="65"/>
        <v>0</v>
      </c>
      <c r="DE106" s="107">
        <f t="shared" si="64"/>
        <v>0</v>
      </c>
      <c r="DF106" s="107">
        <f t="shared" si="66"/>
        <v>0</v>
      </c>
      <c r="DG106" s="107">
        <f t="shared" si="67"/>
        <v>0</v>
      </c>
      <c r="DH106" s="107">
        <f t="shared" si="68"/>
        <v>0</v>
      </c>
      <c r="DI106" s="107"/>
      <c r="DJ106" s="107"/>
      <c r="DK106" s="107"/>
      <c r="DL106" s="107"/>
      <c r="DM106" s="107"/>
      <c r="DN106" s="107"/>
      <c r="DO106" s="107"/>
      <c r="DP106" s="107"/>
      <c r="DQ106">
        <f t="shared" si="69"/>
        <v>0</v>
      </c>
      <c r="DR106">
        <f t="shared" si="92"/>
        <v>0</v>
      </c>
      <c r="DS106">
        <f t="shared" si="79"/>
        <v>0</v>
      </c>
      <c r="DT106">
        <f t="shared" si="80"/>
        <v>0</v>
      </c>
      <c r="DU106"/>
      <c r="DV106" s="31"/>
      <c r="DW106" s="54">
        <f t="shared" si="81"/>
        <v>14000</v>
      </c>
      <c r="DX106" s="33">
        <v>7</v>
      </c>
      <c r="DY106" s="94">
        <f>E106*0.77</f>
        <v>6605.83</v>
      </c>
      <c r="DZ106" s="94">
        <f>E106*0.77</f>
        <v>6605.83</v>
      </c>
      <c r="EA106" s="35"/>
      <c r="EB106" s="36">
        <f t="shared" ref="EB106:EB137" si="108">BX106*EA106</f>
        <v>0</v>
      </c>
      <c r="EC106" s="37"/>
      <c r="ED106" s="37"/>
      <c r="EE106" s="37"/>
      <c r="EF106" s="152"/>
      <c r="EG106" s="396"/>
      <c r="EH106" s="37"/>
      <c r="EI106" s="38" t="str">
        <f t="shared" si="90"/>
        <v/>
      </c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>
        <v>56.21</v>
      </c>
      <c r="FJ106">
        <v>1.22</v>
      </c>
      <c r="FK106" s="47">
        <f>SUM(FI106:FJ106)/100*K106</f>
        <v>55.707100000000004</v>
      </c>
      <c r="FL106"/>
      <c r="FM106" s="48" t="e">
        <f t="shared" si="73"/>
        <v>#DIV/0!</v>
      </c>
      <c r="FN106" s="48" t="e">
        <f t="shared" si="74"/>
        <v>#DIV/0!</v>
      </c>
      <c r="FO106" s="142" t="e">
        <f t="shared" si="75"/>
        <v>#DIV/0!</v>
      </c>
      <c r="FP106" s="142" t="e">
        <f t="shared" si="76"/>
        <v>#DIV/0!</v>
      </c>
      <c r="FQ106" s="180" t="e">
        <f t="shared" si="77"/>
        <v>#DIV/0!</v>
      </c>
    </row>
    <row r="107" spans="1:173" x14ac:dyDescent="0.15">
      <c r="A107" s="134">
        <v>106</v>
      </c>
      <c r="B107" t="s">
        <v>310</v>
      </c>
      <c r="D107">
        <v>7265</v>
      </c>
      <c r="E107">
        <v>7119</v>
      </c>
      <c r="F107">
        <v>6265</v>
      </c>
      <c r="K107">
        <v>97</v>
      </c>
      <c r="M107">
        <v>0</v>
      </c>
      <c r="AD107" s="136">
        <v>73.72</v>
      </c>
      <c r="CF107" s="4">
        <v>0</v>
      </c>
      <c r="CH107" s="107">
        <v>0</v>
      </c>
      <c r="CI107" s="107">
        <v>0</v>
      </c>
      <c r="CJ107" s="107">
        <v>0</v>
      </c>
      <c r="CK107" s="107">
        <v>0</v>
      </c>
      <c r="CL107" s="107">
        <v>0</v>
      </c>
      <c r="CM107" s="107">
        <v>0</v>
      </c>
      <c r="CN107" s="107">
        <v>0</v>
      </c>
      <c r="CO107" s="107">
        <v>0</v>
      </c>
      <c r="CP107" s="107">
        <v>0</v>
      </c>
      <c r="CQ107" s="107">
        <v>0</v>
      </c>
      <c r="CR107" s="107">
        <v>0</v>
      </c>
      <c r="CS107" s="107">
        <v>0</v>
      </c>
      <c r="CT107" s="107">
        <v>0</v>
      </c>
      <c r="CU107" s="107"/>
      <c r="CV107" s="107">
        <v>0</v>
      </c>
      <c r="CW107" s="107">
        <f t="shared" si="102"/>
        <v>0</v>
      </c>
      <c r="CX107" s="107">
        <f t="shared" si="103"/>
        <v>0</v>
      </c>
      <c r="CY107" s="107">
        <f t="shared" si="104"/>
        <v>0</v>
      </c>
      <c r="CZ107" s="107">
        <f t="shared" si="105"/>
        <v>0</v>
      </c>
      <c r="DA107" s="107">
        <f t="shared" si="106"/>
        <v>0</v>
      </c>
      <c r="DB107" s="107">
        <f t="shared" si="107"/>
        <v>0</v>
      </c>
      <c r="DC107" s="107">
        <f t="shared" si="78"/>
        <v>0</v>
      </c>
      <c r="DD107" s="107">
        <f t="shared" si="65"/>
        <v>0</v>
      </c>
      <c r="DE107" s="107">
        <f t="shared" si="64"/>
        <v>0</v>
      </c>
      <c r="DF107" s="107">
        <f t="shared" si="66"/>
        <v>0</v>
      </c>
      <c r="DG107" s="107">
        <f t="shared" si="67"/>
        <v>0</v>
      </c>
      <c r="DH107" s="107">
        <f t="shared" si="68"/>
        <v>0</v>
      </c>
      <c r="DI107" s="107"/>
      <c r="DJ107" s="107"/>
      <c r="DK107" s="107"/>
      <c r="DL107" s="107"/>
      <c r="DM107" s="107"/>
      <c r="DN107" s="107"/>
      <c r="DO107" s="107"/>
      <c r="DP107" s="107"/>
      <c r="DQ107">
        <f t="shared" si="69"/>
        <v>0</v>
      </c>
      <c r="DR107">
        <f t="shared" si="92"/>
        <v>0</v>
      </c>
      <c r="DS107">
        <f t="shared" si="79"/>
        <v>0</v>
      </c>
      <c r="DT107">
        <f t="shared" si="80"/>
        <v>0</v>
      </c>
      <c r="DU107"/>
      <c r="DV107" s="31"/>
      <c r="DW107" s="54">
        <f t="shared" si="81"/>
        <v>0</v>
      </c>
      <c r="DX107" s="33">
        <v>0</v>
      </c>
      <c r="DY107" s="94">
        <f>E107*0.77</f>
        <v>5481.63</v>
      </c>
      <c r="DZ107" s="94">
        <f>E107*0.77</f>
        <v>5481.63</v>
      </c>
      <c r="EA107" s="35"/>
      <c r="EB107" s="36">
        <f t="shared" si="108"/>
        <v>0</v>
      </c>
      <c r="EC107" s="37"/>
      <c r="ED107" s="37"/>
      <c r="EE107" s="37"/>
      <c r="EF107" s="152"/>
      <c r="EG107" s="396"/>
      <c r="EH107" s="37"/>
      <c r="EI107" s="38" t="str">
        <f t="shared" si="90"/>
        <v/>
      </c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 s="118">
        <v>10.99</v>
      </c>
      <c r="FJ107" s="118">
        <v>0.43</v>
      </c>
      <c r="FK107" s="47">
        <f>SUM(FI107:FJ107)/100*K107</f>
        <v>11.077399999999999</v>
      </c>
      <c r="FL107"/>
      <c r="FM107" s="48" t="e">
        <f t="shared" si="73"/>
        <v>#DIV/0!</v>
      </c>
      <c r="FN107" s="48" t="e">
        <f t="shared" si="74"/>
        <v>#DIV/0!</v>
      </c>
      <c r="FO107" s="142" t="e">
        <f t="shared" si="75"/>
        <v>#DIV/0!</v>
      </c>
      <c r="FP107" s="142" t="e">
        <f t="shared" si="76"/>
        <v>#DIV/0!</v>
      </c>
      <c r="FQ107" s="180" t="e">
        <f t="shared" si="77"/>
        <v>#DIV/0!</v>
      </c>
    </row>
    <row r="108" spans="1:173" x14ac:dyDescent="0.15">
      <c r="A108" s="134">
        <v>110</v>
      </c>
      <c r="B108" t="s">
        <v>59</v>
      </c>
      <c r="D108">
        <v>8749</v>
      </c>
      <c r="E108">
        <v>8574</v>
      </c>
      <c r="F108">
        <v>7545</v>
      </c>
      <c r="K108">
        <v>97</v>
      </c>
      <c r="M108">
        <v>0</v>
      </c>
      <c r="AD108" s="136">
        <v>73.72</v>
      </c>
      <c r="CF108" s="4">
        <v>0</v>
      </c>
      <c r="CH108" s="107">
        <v>0</v>
      </c>
      <c r="CI108" s="107">
        <v>0</v>
      </c>
      <c r="CJ108" s="107">
        <v>0</v>
      </c>
      <c r="CK108" s="107">
        <v>0</v>
      </c>
      <c r="CL108" s="107">
        <v>0</v>
      </c>
      <c r="CM108" s="107">
        <v>0</v>
      </c>
      <c r="CN108" s="107">
        <v>0</v>
      </c>
      <c r="CO108" s="107">
        <v>0</v>
      </c>
      <c r="CP108" s="107">
        <v>0</v>
      </c>
      <c r="CQ108" s="107">
        <v>0</v>
      </c>
      <c r="CR108" s="107">
        <v>0</v>
      </c>
      <c r="CS108" s="107">
        <v>0</v>
      </c>
      <c r="CT108" s="107">
        <v>0</v>
      </c>
      <c r="CU108" s="107"/>
      <c r="CV108" s="107">
        <v>0</v>
      </c>
      <c r="CW108" s="107">
        <f t="shared" si="102"/>
        <v>0</v>
      </c>
      <c r="CX108" s="107">
        <f t="shared" si="103"/>
        <v>0</v>
      </c>
      <c r="CY108" s="107">
        <f t="shared" si="104"/>
        <v>0</v>
      </c>
      <c r="CZ108" s="107">
        <f t="shared" si="105"/>
        <v>0</v>
      </c>
      <c r="DA108" s="107">
        <f t="shared" si="106"/>
        <v>0</v>
      </c>
      <c r="DB108" s="107">
        <f t="shared" si="107"/>
        <v>0</v>
      </c>
      <c r="DC108" s="107">
        <f t="shared" si="78"/>
        <v>0</v>
      </c>
      <c r="DD108" s="107">
        <f t="shared" si="65"/>
        <v>0</v>
      </c>
      <c r="DE108" s="107">
        <f t="shared" si="64"/>
        <v>0</v>
      </c>
      <c r="DF108" s="107">
        <f t="shared" si="66"/>
        <v>0</v>
      </c>
      <c r="DG108" s="107">
        <f t="shared" si="67"/>
        <v>0</v>
      </c>
      <c r="DH108" s="107">
        <f t="shared" si="68"/>
        <v>0</v>
      </c>
      <c r="DI108" s="107"/>
      <c r="DJ108" s="107"/>
      <c r="DK108" s="107"/>
      <c r="DL108" s="107"/>
      <c r="DM108" s="107"/>
      <c r="DN108" s="107"/>
      <c r="DO108" s="107"/>
      <c r="DP108" s="107"/>
      <c r="DQ108">
        <f t="shared" si="69"/>
        <v>0</v>
      </c>
      <c r="DR108">
        <f t="shared" si="92"/>
        <v>0</v>
      </c>
      <c r="DS108">
        <f t="shared" si="79"/>
        <v>0</v>
      </c>
      <c r="DT108">
        <f t="shared" si="80"/>
        <v>0</v>
      </c>
      <c r="DU108"/>
      <c r="DV108" s="32"/>
      <c r="DW108" s="54">
        <f t="shared" si="81"/>
        <v>760</v>
      </c>
      <c r="DX108" s="33">
        <v>0.38</v>
      </c>
      <c r="DY108" s="34">
        <v>7110</v>
      </c>
      <c r="DZ108" s="34">
        <v>7110</v>
      </c>
      <c r="EA108" s="149">
        <v>0</v>
      </c>
      <c r="EB108" s="36">
        <f t="shared" si="108"/>
        <v>0</v>
      </c>
      <c r="EC108" s="37">
        <v>17.5</v>
      </c>
      <c r="ED108" s="80">
        <v>0</v>
      </c>
      <c r="EE108" s="81">
        <v>0</v>
      </c>
      <c r="EF108" s="81"/>
      <c r="EG108" s="393"/>
      <c r="EH108" s="37">
        <v>750</v>
      </c>
      <c r="EI108" s="38" t="str">
        <f t="shared" si="90"/>
        <v/>
      </c>
      <c r="EJ108" s="37"/>
      <c r="EK108" s="37"/>
      <c r="EL108" s="37"/>
      <c r="EM108" s="37"/>
      <c r="EN108" s="37"/>
      <c r="EO108" s="37"/>
      <c r="EP108" s="37"/>
      <c r="EQ108" s="37"/>
      <c r="ER108" s="37"/>
      <c r="ES108" s="37"/>
      <c r="ET108" s="37"/>
      <c r="EU108" s="37"/>
      <c r="EV108" s="37"/>
      <c r="EW108" s="37"/>
      <c r="EX108" s="37"/>
      <c r="EY108" s="37"/>
      <c r="EZ108" s="37"/>
      <c r="FA108" s="37"/>
      <c r="FB108" s="37"/>
      <c r="FC108" s="37"/>
      <c r="FD108" s="37"/>
      <c r="FE108" s="37"/>
      <c r="FF108" s="37"/>
      <c r="FG108" s="37"/>
      <c r="FH108" s="37"/>
      <c r="FI108">
        <v>53.1</v>
      </c>
      <c r="FJ108">
        <v>7.4</v>
      </c>
      <c r="FK108" s="47">
        <f>SUM(FI108:FJ108)/100*K108</f>
        <v>58.684999999999995</v>
      </c>
      <c r="FL108"/>
      <c r="FM108" s="48" t="e">
        <f t="shared" si="73"/>
        <v>#DIV/0!</v>
      </c>
      <c r="FN108" s="48" t="e">
        <f t="shared" si="74"/>
        <v>#DIV/0!</v>
      </c>
      <c r="FO108" s="142" t="e">
        <f t="shared" si="75"/>
        <v>#DIV/0!</v>
      </c>
      <c r="FP108" s="142" t="e">
        <f t="shared" si="76"/>
        <v>#DIV/0!</v>
      </c>
      <c r="FQ108" s="180" t="e">
        <f t="shared" si="77"/>
        <v>#DIV/0!</v>
      </c>
    </row>
    <row r="109" spans="1:173" x14ac:dyDescent="0.15">
      <c r="A109" s="134">
        <v>111</v>
      </c>
      <c r="B109" t="s">
        <v>311</v>
      </c>
      <c r="D109">
        <v>8701</v>
      </c>
      <c r="E109">
        <v>8527</v>
      </c>
      <c r="F109">
        <v>7504</v>
      </c>
      <c r="K109">
        <v>97</v>
      </c>
      <c r="M109">
        <v>0</v>
      </c>
      <c r="AD109" s="136">
        <v>73.72</v>
      </c>
      <c r="CF109" s="4">
        <v>0</v>
      </c>
      <c r="CH109" s="107">
        <v>0</v>
      </c>
      <c r="CI109" s="107">
        <v>0</v>
      </c>
      <c r="CJ109" s="107">
        <v>0</v>
      </c>
      <c r="CK109" s="107">
        <v>0</v>
      </c>
      <c r="CL109" s="107">
        <v>0</v>
      </c>
      <c r="CM109" s="107">
        <v>0</v>
      </c>
      <c r="CN109" s="107">
        <v>0</v>
      </c>
      <c r="CO109" s="107">
        <v>0</v>
      </c>
      <c r="CP109" s="107">
        <v>0</v>
      </c>
      <c r="CQ109" s="107">
        <v>0</v>
      </c>
      <c r="CR109" s="107">
        <v>0</v>
      </c>
      <c r="CS109" s="107">
        <v>0</v>
      </c>
      <c r="CT109" s="107">
        <v>0</v>
      </c>
      <c r="CU109" s="107"/>
      <c r="CV109" s="107">
        <v>0</v>
      </c>
      <c r="CW109" s="107">
        <f t="shared" si="102"/>
        <v>0</v>
      </c>
      <c r="CX109" s="107">
        <f t="shared" si="103"/>
        <v>0</v>
      </c>
      <c r="CY109" s="107">
        <f t="shared" si="104"/>
        <v>0</v>
      </c>
      <c r="CZ109" s="107">
        <f t="shared" si="105"/>
        <v>0</v>
      </c>
      <c r="DA109" s="107">
        <f t="shared" si="106"/>
        <v>0</v>
      </c>
      <c r="DB109" s="107">
        <f t="shared" si="107"/>
        <v>0</v>
      </c>
      <c r="DC109" s="107">
        <f t="shared" si="78"/>
        <v>0</v>
      </c>
      <c r="DD109" s="107">
        <f t="shared" si="65"/>
        <v>0</v>
      </c>
      <c r="DE109" s="107">
        <f t="shared" si="64"/>
        <v>0</v>
      </c>
      <c r="DF109" s="107">
        <f t="shared" si="66"/>
        <v>0</v>
      </c>
      <c r="DG109" s="107">
        <f t="shared" si="67"/>
        <v>0</v>
      </c>
      <c r="DH109" s="107">
        <f t="shared" si="68"/>
        <v>0</v>
      </c>
      <c r="DI109" s="107"/>
      <c r="DJ109" s="107"/>
      <c r="DK109" s="107"/>
      <c r="DL109" s="107"/>
      <c r="DM109" s="107"/>
      <c r="DN109" s="107"/>
      <c r="DO109" s="107"/>
      <c r="DP109" s="107"/>
      <c r="DQ109">
        <f t="shared" si="69"/>
        <v>0</v>
      </c>
      <c r="DR109">
        <f t="shared" si="92"/>
        <v>0</v>
      </c>
      <c r="DS109">
        <f t="shared" si="79"/>
        <v>0</v>
      </c>
      <c r="DT109">
        <f t="shared" si="80"/>
        <v>0</v>
      </c>
      <c r="DU109"/>
      <c r="DV109" s="32"/>
      <c r="DW109" s="54">
        <f t="shared" si="81"/>
        <v>1400</v>
      </c>
      <c r="DX109" s="33">
        <v>0.7</v>
      </c>
      <c r="DY109" s="97">
        <f>1427*2.2046</f>
        <v>3145.9642000000003</v>
      </c>
      <c r="DZ109" s="97">
        <f>DY109</f>
        <v>3145.9642000000003</v>
      </c>
      <c r="EA109" s="35">
        <v>1</v>
      </c>
      <c r="EB109" s="36">
        <f t="shared" si="108"/>
        <v>0</v>
      </c>
      <c r="EC109" s="80"/>
      <c r="ED109" s="80"/>
      <c r="EE109" s="80"/>
      <c r="EF109" s="383"/>
      <c r="EG109" s="394"/>
      <c r="EH109" s="80"/>
      <c r="EI109" s="38" t="str">
        <f t="shared" si="90"/>
        <v/>
      </c>
      <c r="EJ109" s="37"/>
      <c r="EK109" s="37"/>
      <c r="EL109" s="37"/>
      <c r="EM109" s="37"/>
      <c r="EN109" s="37"/>
      <c r="EO109" s="37"/>
      <c r="EP109" s="37"/>
      <c r="EQ109" s="37"/>
      <c r="ER109" s="37"/>
      <c r="ES109" s="37"/>
      <c r="ET109" s="37"/>
      <c r="EU109" s="37"/>
      <c r="EV109" s="37"/>
      <c r="EW109" s="37"/>
      <c r="EX109" s="37"/>
      <c r="EY109" s="37"/>
      <c r="EZ109" s="37"/>
      <c r="FA109" s="37"/>
      <c r="FB109" s="37"/>
      <c r="FC109" s="37"/>
      <c r="FD109" s="37"/>
      <c r="FE109" s="37"/>
      <c r="FF109" s="37"/>
      <c r="FG109" s="37"/>
      <c r="FH109" s="37"/>
      <c r="FI109" s="37"/>
      <c r="FJ109" s="37"/>
      <c r="FK109" s="47"/>
      <c r="FL109" s="37"/>
      <c r="FM109" s="48" t="e">
        <f t="shared" si="73"/>
        <v>#DIV/0!</v>
      </c>
      <c r="FN109" s="48" t="e">
        <f t="shared" si="74"/>
        <v>#DIV/0!</v>
      </c>
      <c r="FO109" s="142" t="e">
        <f t="shared" si="75"/>
        <v>#DIV/0!</v>
      </c>
      <c r="FP109" s="142" t="e">
        <f t="shared" si="76"/>
        <v>#DIV/0!</v>
      </c>
      <c r="FQ109" s="180" t="e">
        <f t="shared" si="77"/>
        <v>#DIV/0!</v>
      </c>
    </row>
    <row r="110" spans="1:173" x14ac:dyDescent="0.15">
      <c r="A110" s="134">
        <v>112</v>
      </c>
      <c r="B110" t="s">
        <v>312</v>
      </c>
      <c r="D110">
        <v>8760</v>
      </c>
      <c r="E110">
        <v>8585</v>
      </c>
      <c r="F110">
        <v>7555</v>
      </c>
      <c r="K110">
        <v>97</v>
      </c>
      <c r="M110">
        <v>0</v>
      </c>
      <c r="AD110" s="136">
        <v>73.72</v>
      </c>
      <c r="CF110" s="4">
        <v>0</v>
      </c>
      <c r="CH110" s="107">
        <v>0</v>
      </c>
      <c r="CI110" s="107">
        <v>0</v>
      </c>
      <c r="CJ110" s="107">
        <v>0</v>
      </c>
      <c r="CK110" s="107">
        <v>0</v>
      </c>
      <c r="CL110" s="107">
        <v>0</v>
      </c>
      <c r="CM110" s="107">
        <v>0</v>
      </c>
      <c r="CN110" s="107">
        <v>0</v>
      </c>
      <c r="CO110" s="107">
        <v>0</v>
      </c>
      <c r="CP110" s="107">
        <v>0</v>
      </c>
      <c r="CQ110" s="107">
        <v>0</v>
      </c>
      <c r="CR110" s="107">
        <v>0</v>
      </c>
      <c r="CS110" s="107">
        <v>0</v>
      </c>
      <c r="CT110" s="107">
        <v>0</v>
      </c>
      <c r="CU110" s="107"/>
      <c r="CV110" s="107">
        <v>0</v>
      </c>
      <c r="CW110" s="107">
        <f t="shared" si="102"/>
        <v>0</v>
      </c>
      <c r="CX110" s="107">
        <f t="shared" si="103"/>
        <v>0</v>
      </c>
      <c r="CY110" s="107">
        <f t="shared" si="104"/>
        <v>0</v>
      </c>
      <c r="CZ110" s="107">
        <f t="shared" si="105"/>
        <v>0</v>
      </c>
      <c r="DA110" s="107">
        <f t="shared" si="106"/>
        <v>0</v>
      </c>
      <c r="DB110" s="107">
        <f t="shared" si="107"/>
        <v>0</v>
      </c>
      <c r="DC110" s="107">
        <f t="shared" si="78"/>
        <v>0</v>
      </c>
      <c r="DD110" s="107">
        <f t="shared" si="65"/>
        <v>0</v>
      </c>
      <c r="DE110" s="107">
        <f t="shared" si="64"/>
        <v>0</v>
      </c>
      <c r="DF110" s="107">
        <f t="shared" si="66"/>
        <v>0</v>
      </c>
      <c r="DG110" s="107">
        <f t="shared" si="67"/>
        <v>0</v>
      </c>
      <c r="DH110" s="107">
        <f t="shared" si="68"/>
        <v>0</v>
      </c>
      <c r="DI110" s="107"/>
      <c r="DJ110" s="107"/>
      <c r="DK110" s="107"/>
      <c r="DL110" s="107"/>
      <c r="DM110" s="107"/>
      <c r="DN110" s="107"/>
      <c r="DO110" s="107"/>
      <c r="DP110" s="107"/>
      <c r="DQ110">
        <f t="shared" si="69"/>
        <v>0</v>
      </c>
      <c r="DR110">
        <f t="shared" si="92"/>
        <v>0</v>
      </c>
      <c r="DS110">
        <f t="shared" si="79"/>
        <v>0</v>
      </c>
      <c r="DT110">
        <f t="shared" si="80"/>
        <v>0</v>
      </c>
      <c r="DU110"/>
      <c r="DV110" s="32"/>
      <c r="DW110" s="54">
        <f t="shared" si="81"/>
        <v>1200</v>
      </c>
      <c r="DX110" s="33">
        <v>0.6</v>
      </c>
      <c r="DY110" s="97">
        <v>2640</v>
      </c>
      <c r="DZ110" s="97">
        <v>2640</v>
      </c>
      <c r="EA110" s="35"/>
      <c r="EB110" s="36">
        <f t="shared" si="108"/>
        <v>0</v>
      </c>
      <c r="EC110" s="80"/>
      <c r="ED110" s="80"/>
      <c r="EE110" s="80"/>
      <c r="EF110" s="383"/>
      <c r="EG110" s="394"/>
      <c r="EH110" s="80"/>
      <c r="EI110" s="38" t="str">
        <f t="shared" si="90"/>
        <v/>
      </c>
      <c r="EJ110" s="37"/>
      <c r="EK110" s="37"/>
      <c r="EL110" s="37"/>
      <c r="EM110" s="37"/>
      <c r="EN110" s="37"/>
      <c r="EO110" s="37"/>
      <c r="EP110" s="37"/>
      <c r="EQ110" s="37"/>
      <c r="ER110" s="37"/>
      <c r="ES110" s="37"/>
      <c r="ET110" s="37"/>
      <c r="EU110" s="37"/>
      <c r="EV110" s="37"/>
      <c r="EW110" s="37"/>
      <c r="EX110" s="37"/>
      <c r="EY110" s="37"/>
      <c r="EZ110" s="37"/>
      <c r="FA110" s="37"/>
      <c r="FB110" s="37"/>
      <c r="FC110" s="37"/>
      <c r="FD110" s="37"/>
      <c r="FE110" s="37"/>
      <c r="FF110" s="37"/>
      <c r="FG110" s="37"/>
      <c r="FH110" s="37"/>
      <c r="FI110" s="37"/>
      <c r="FJ110" s="37"/>
      <c r="FK110" s="47"/>
      <c r="FL110" s="37"/>
      <c r="FM110" s="48" t="e">
        <f t="shared" si="73"/>
        <v>#DIV/0!</v>
      </c>
      <c r="FN110" s="48" t="e">
        <f t="shared" si="74"/>
        <v>#DIV/0!</v>
      </c>
      <c r="FO110" s="142" t="e">
        <f t="shared" si="75"/>
        <v>#DIV/0!</v>
      </c>
      <c r="FP110" s="142" t="e">
        <f t="shared" si="76"/>
        <v>#DIV/0!</v>
      </c>
      <c r="FQ110" s="180" t="e">
        <f t="shared" si="77"/>
        <v>#DIV/0!</v>
      </c>
    </row>
    <row r="111" spans="1:173" x14ac:dyDescent="0.15">
      <c r="A111" s="134">
        <v>113</v>
      </c>
      <c r="B111" t="s">
        <v>313</v>
      </c>
      <c r="D111">
        <v>8393</v>
      </c>
      <c r="E111">
        <v>8225</v>
      </c>
      <c r="F111">
        <v>7238</v>
      </c>
      <c r="K111">
        <v>97</v>
      </c>
      <c r="M111">
        <v>0</v>
      </c>
      <c r="AD111" s="136">
        <v>73.72</v>
      </c>
      <c r="CF111" s="4">
        <v>0</v>
      </c>
      <c r="CH111" s="107">
        <v>0</v>
      </c>
      <c r="CI111" s="107">
        <v>0</v>
      </c>
      <c r="CJ111" s="107">
        <v>0</v>
      </c>
      <c r="CK111" s="107">
        <v>0</v>
      </c>
      <c r="CL111" s="107">
        <v>0</v>
      </c>
      <c r="CM111" s="107">
        <v>0</v>
      </c>
      <c r="CN111" s="107">
        <v>0</v>
      </c>
      <c r="CO111" s="107">
        <v>0</v>
      </c>
      <c r="CP111" s="107">
        <v>0</v>
      </c>
      <c r="CQ111" s="107">
        <v>0</v>
      </c>
      <c r="CR111" s="107">
        <v>0</v>
      </c>
      <c r="CS111" s="107">
        <v>0</v>
      </c>
      <c r="CT111" s="107">
        <v>0</v>
      </c>
      <c r="CU111" s="107"/>
      <c r="CV111" s="107">
        <v>0</v>
      </c>
      <c r="CW111" s="107">
        <f t="shared" si="102"/>
        <v>0</v>
      </c>
      <c r="CX111" s="107">
        <f t="shared" si="103"/>
        <v>0</v>
      </c>
      <c r="CY111" s="107">
        <f t="shared" si="104"/>
        <v>0</v>
      </c>
      <c r="CZ111" s="107">
        <f t="shared" si="105"/>
        <v>0</v>
      </c>
      <c r="DA111" s="107">
        <f t="shared" si="106"/>
        <v>0</v>
      </c>
      <c r="DB111" s="107">
        <f t="shared" si="107"/>
        <v>0</v>
      </c>
      <c r="DC111" s="107">
        <f t="shared" si="78"/>
        <v>0</v>
      </c>
      <c r="DD111" s="107">
        <f t="shared" si="65"/>
        <v>0</v>
      </c>
      <c r="DE111" s="107">
        <f t="shared" si="64"/>
        <v>0</v>
      </c>
      <c r="DF111" s="107">
        <f t="shared" si="66"/>
        <v>0</v>
      </c>
      <c r="DG111" s="107">
        <f t="shared" si="67"/>
        <v>0</v>
      </c>
      <c r="DH111" s="107">
        <f t="shared" si="68"/>
        <v>0</v>
      </c>
      <c r="DI111" s="107"/>
      <c r="DJ111" s="107"/>
      <c r="DK111" s="107"/>
      <c r="DL111" s="107"/>
      <c r="DM111" s="107"/>
      <c r="DN111" s="107"/>
      <c r="DO111" s="107"/>
      <c r="DP111" s="107"/>
      <c r="DQ111">
        <f t="shared" si="69"/>
        <v>0</v>
      </c>
      <c r="DR111">
        <f t="shared" si="92"/>
        <v>0</v>
      </c>
      <c r="DS111">
        <f t="shared" si="79"/>
        <v>0</v>
      </c>
      <c r="DT111">
        <f t="shared" si="80"/>
        <v>0</v>
      </c>
      <c r="DU111"/>
      <c r="DV111" s="32"/>
      <c r="DW111" s="54">
        <f t="shared" si="81"/>
        <v>4400</v>
      </c>
      <c r="DX111" s="33">
        <v>2.2000000000000002</v>
      </c>
      <c r="DY111" s="34">
        <f>0.77*E111</f>
        <v>6333.25</v>
      </c>
      <c r="DZ111" s="34">
        <f>0.77*E111</f>
        <v>6333.25</v>
      </c>
      <c r="EA111" s="35"/>
      <c r="EB111" s="36">
        <f t="shared" si="108"/>
        <v>0</v>
      </c>
      <c r="EC111" s="80"/>
      <c r="ED111" s="80"/>
      <c r="EE111" s="80"/>
      <c r="EF111" s="383"/>
      <c r="EG111" s="394"/>
      <c r="EH111" s="80"/>
      <c r="EI111" s="38" t="str">
        <f t="shared" si="90"/>
        <v/>
      </c>
      <c r="EJ111" s="37"/>
      <c r="EK111" s="37"/>
      <c r="EL111" s="37"/>
      <c r="EM111" s="37"/>
      <c r="EN111" s="37"/>
      <c r="EO111" s="37"/>
      <c r="EP111" s="37"/>
      <c r="EQ111" s="37"/>
      <c r="ER111" s="37"/>
      <c r="ES111" s="37"/>
      <c r="ET111" s="37"/>
      <c r="EU111" s="37"/>
      <c r="EV111" s="37"/>
      <c r="EW111" s="37"/>
      <c r="EX111" s="37"/>
      <c r="EY111" s="37"/>
      <c r="EZ111" s="37"/>
      <c r="FA111" s="37"/>
      <c r="FB111" s="37"/>
      <c r="FC111" s="37"/>
      <c r="FD111" s="37"/>
      <c r="FE111" s="37"/>
      <c r="FF111" s="37"/>
      <c r="FG111" s="37"/>
      <c r="FH111" s="37"/>
      <c r="FI111" s="37">
        <v>34.67</v>
      </c>
      <c r="FJ111" s="37">
        <v>0</v>
      </c>
      <c r="FK111" s="47">
        <f>SUM(FI111:FJ111)/100*K111</f>
        <v>33.629899999999999</v>
      </c>
      <c r="FL111" s="37"/>
      <c r="FM111" s="48" t="e">
        <f t="shared" si="73"/>
        <v>#DIV/0!</v>
      </c>
      <c r="FN111" s="48" t="e">
        <f t="shared" si="74"/>
        <v>#DIV/0!</v>
      </c>
      <c r="FO111" s="142" t="e">
        <f t="shared" si="75"/>
        <v>#DIV/0!</v>
      </c>
      <c r="FP111" s="142" t="e">
        <f t="shared" si="76"/>
        <v>#DIV/0!</v>
      </c>
      <c r="FQ111" s="180" t="e">
        <f t="shared" si="77"/>
        <v>#DIV/0!</v>
      </c>
    </row>
    <row r="112" spans="1:173" x14ac:dyDescent="0.15">
      <c r="A112" s="134">
        <v>114</v>
      </c>
      <c r="B112" t="s">
        <v>314</v>
      </c>
      <c r="AD112" s="136">
        <v>0</v>
      </c>
      <c r="BS112">
        <v>38.5</v>
      </c>
      <c r="BT112">
        <v>0.02</v>
      </c>
      <c r="BU112">
        <v>0.08</v>
      </c>
      <c r="BV112">
        <v>1.61</v>
      </c>
      <c r="BW112">
        <v>0.08</v>
      </c>
      <c r="BX112">
        <v>0.02</v>
      </c>
      <c r="BY112">
        <v>0.08</v>
      </c>
      <c r="CD112">
        <v>64</v>
      </c>
      <c r="CE112">
        <v>71</v>
      </c>
      <c r="CF112" s="4">
        <v>0</v>
      </c>
      <c r="CH112" s="107">
        <v>0</v>
      </c>
      <c r="CI112" s="107">
        <v>0</v>
      </c>
      <c r="CJ112" s="107">
        <v>0</v>
      </c>
      <c r="CK112" s="107">
        <v>0</v>
      </c>
      <c r="CL112" s="107">
        <v>0</v>
      </c>
      <c r="CM112" s="107">
        <v>0</v>
      </c>
      <c r="CN112" s="107">
        <v>0</v>
      </c>
      <c r="CO112" s="107">
        <v>0</v>
      </c>
      <c r="CP112" s="107">
        <v>0</v>
      </c>
      <c r="CQ112" s="107">
        <v>0</v>
      </c>
      <c r="CR112" s="107">
        <v>0</v>
      </c>
      <c r="CS112" s="107">
        <v>0</v>
      </c>
      <c r="CT112" s="107">
        <v>0</v>
      </c>
      <c r="CU112" s="107"/>
      <c r="CV112" s="107">
        <v>0</v>
      </c>
      <c r="CW112" s="107">
        <f t="shared" si="102"/>
        <v>0</v>
      </c>
      <c r="CX112" s="107">
        <f t="shared" si="103"/>
        <v>0</v>
      </c>
      <c r="CY112" s="107">
        <f t="shared" si="104"/>
        <v>0</v>
      </c>
      <c r="CZ112" s="107">
        <f t="shared" si="105"/>
        <v>0</v>
      </c>
      <c r="DA112" s="107">
        <f t="shared" si="106"/>
        <v>0</v>
      </c>
      <c r="DB112" s="107">
        <f t="shared" si="107"/>
        <v>0</v>
      </c>
      <c r="DC112" s="107">
        <f t="shared" si="78"/>
        <v>0</v>
      </c>
      <c r="DD112" s="107">
        <f t="shared" si="65"/>
        <v>0</v>
      </c>
      <c r="DE112" s="107">
        <f t="shared" si="64"/>
        <v>0</v>
      </c>
      <c r="DF112" s="107">
        <f t="shared" si="66"/>
        <v>0</v>
      </c>
      <c r="DG112" s="107">
        <f t="shared" si="67"/>
        <v>0</v>
      </c>
      <c r="DH112" s="107">
        <f t="shared" si="68"/>
        <v>0</v>
      </c>
      <c r="DI112" s="107"/>
      <c r="DJ112" s="107"/>
      <c r="DK112" s="107"/>
      <c r="DL112" s="107"/>
      <c r="DM112" s="107"/>
      <c r="DN112" s="107"/>
      <c r="DO112" s="107"/>
      <c r="DP112" s="107"/>
      <c r="DQ112">
        <f t="shared" si="69"/>
        <v>0</v>
      </c>
      <c r="DR112">
        <f t="shared" si="92"/>
        <v>0</v>
      </c>
      <c r="DS112">
        <f t="shared" si="79"/>
        <v>24.64</v>
      </c>
      <c r="DT112">
        <f t="shared" si="80"/>
        <v>27.335000000000001</v>
      </c>
      <c r="DU112"/>
      <c r="DV112" s="32"/>
      <c r="DW112" s="54">
        <f t="shared" si="81"/>
        <v>60</v>
      </c>
      <c r="DX112" s="33">
        <f>IF('Lys Calculator-kg'!E6="$/ton",'Lys Calculator-kg'!D6/2000,IF('Lys Calculator-kg'!E6="$/tonne",'Lys Calculator-kg'!D6/2200,""))</f>
        <v>0.03</v>
      </c>
      <c r="DY112" s="34"/>
      <c r="DZ112" s="34"/>
      <c r="EA112" s="35"/>
      <c r="EB112" s="36">
        <f t="shared" si="108"/>
        <v>0</v>
      </c>
      <c r="EC112" s="80"/>
      <c r="ED112" s="80"/>
      <c r="EE112" s="80"/>
      <c r="EF112" s="383"/>
      <c r="EG112" s="394"/>
      <c r="EH112" s="80"/>
      <c r="EI112" s="38" t="str">
        <f t="shared" si="90"/>
        <v/>
      </c>
      <c r="EJ112" s="37"/>
      <c r="EK112" s="37"/>
      <c r="EL112" s="37"/>
      <c r="EM112" s="37"/>
      <c r="EN112" s="37"/>
      <c r="EO112" s="37"/>
      <c r="EP112" s="37"/>
      <c r="EQ112" s="37"/>
      <c r="ER112" s="37"/>
      <c r="ES112" s="37"/>
      <c r="ET112" s="37"/>
      <c r="EU112" s="37"/>
      <c r="EV112" s="37"/>
      <c r="EW112" s="37"/>
      <c r="EX112" s="37"/>
      <c r="EY112" s="37"/>
      <c r="EZ112" s="37"/>
      <c r="FA112" s="37"/>
      <c r="FB112" s="37"/>
      <c r="FC112" s="37"/>
      <c r="FD112" s="37"/>
      <c r="FE112" s="37"/>
      <c r="FF112" s="37"/>
      <c r="FG112" s="37"/>
      <c r="FH112" s="37"/>
      <c r="FI112" s="37"/>
      <c r="FJ112" s="37"/>
      <c r="FK112" s="37"/>
      <c r="FL112" s="37"/>
      <c r="FM112" s="48" t="e">
        <f t="shared" si="73"/>
        <v>#DIV/0!</v>
      </c>
      <c r="FN112" s="48" t="e">
        <f t="shared" si="74"/>
        <v>#DIV/0!</v>
      </c>
      <c r="FO112" s="142" t="e">
        <f t="shared" si="75"/>
        <v>#DIV/0!</v>
      </c>
      <c r="FP112" s="142" t="e">
        <f t="shared" si="76"/>
        <v>#DIV/0!</v>
      </c>
      <c r="FQ112" s="180" t="e">
        <f t="shared" si="77"/>
        <v>#DIV/0!</v>
      </c>
    </row>
    <row r="113" spans="1:173" x14ac:dyDescent="0.15">
      <c r="A113" s="134">
        <v>115</v>
      </c>
      <c r="B113" t="s">
        <v>315</v>
      </c>
      <c r="AD113" s="136">
        <v>0</v>
      </c>
      <c r="BS113">
        <v>34.200000000000003</v>
      </c>
      <c r="BV113">
        <v>0.4</v>
      </c>
      <c r="BW113">
        <v>6</v>
      </c>
      <c r="BX113">
        <v>17.7</v>
      </c>
      <c r="BY113">
        <v>0</v>
      </c>
      <c r="CB113">
        <v>48</v>
      </c>
      <c r="CC113">
        <v>53.4</v>
      </c>
      <c r="CF113" s="4">
        <v>0</v>
      </c>
      <c r="CH113" s="107">
        <v>0</v>
      </c>
      <c r="CI113" s="107">
        <v>0</v>
      </c>
      <c r="CJ113" s="107">
        <v>0</v>
      </c>
      <c r="CK113" s="107">
        <v>0</v>
      </c>
      <c r="CL113" s="107">
        <v>0</v>
      </c>
      <c r="CM113" s="107">
        <v>0</v>
      </c>
      <c r="CN113" s="107">
        <v>0</v>
      </c>
      <c r="CO113" s="107">
        <v>0</v>
      </c>
      <c r="CP113" s="107">
        <v>0</v>
      </c>
      <c r="CQ113" s="107">
        <v>0</v>
      </c>
      <c r="CR113" s="107">
        <v>0</v>
      </c>
      <c r="CS113" s="107">
        <v>0</v>
      </c>
      <c r="CT113" s="107">
        <v>0</v>
      </c>
      <c r="CU113" s="107"/>
      <c r="CV113" s="107">
        <v>0</v>
      </c>
      <c r="CW113" s="107">
        <f t="shared" si="102"/>
        <v>0</v>
      </c>
      <c r="CX113" s="107">
        <f t="shared" si="103"/>
        <v>0</v>
      </c>
      <c r="CY113" s="107">
        <f t="shared" si="104"/>
        <v>0</v>
      </c>
      <c r="CZ113" s="107">
        <f t="shared" si="105"/>
        <v>0</v>
      </c>
      <c r="DA113" s="107">
        <f t="shared" si="106"/>
        <v>0</v>
      </c>
      <c r="DB113" s="107">
        <f t="shared" si="107"/>
        <v>0</v>
      </c>
      <c r="DC113" s="107">
        <f t="shared" si="78"/>
        <v>0</v>
      </c>
      <c r="DD113" s="107">
        <f t="shared" si="65"/>
        <v>0</v>
      </c>
      <c r="DE113" s="107">
        <f t="shared" si="64"/>
        <v>0</v>
      </c>
      <c r="DF113" s="107">
        <f t="shared" si="66"/>
        <v>0</v>
      </c>
      <c r="DG113" s="107">
        <f t="shared" si="67"/>
        <v>0</v>
      </c>
      <c r="DH113" s="107">
        <f t="shared" si="68"/>
        <v>0</v>
      </c>
      <c r="DI113" s="107"/>
      <c r="DJ113" s="107"/>
      <c r="DK113" s="107"/>
      <c r="DL113" s="107"/>
      <c r="DM113" s="107"/>
      <c r="DN113" s="107"/>
      <c r="DO113" s="107"/>
      <c r="DP113" s="107"/>
      <c r="DQ113">
        <f t="shared" si="69"/>
        <v>8.4959999999999987</v>
      </c>
      <c r="DR113">
        <f t="shared" si="92"/>
        <v>9.4517999999999986</v>
      </c>
      <c r="DS113">
        <f t="shared" si="79"/>
        <v>0</v>
      </c>
      <c r="DT113">
        <f t="shared" si="80"/>
        <v>0</v>
      </c>
      <c r="DU113"/>
      <c r="DV113" s="32"/>
      <c r="DW113" s="54">
        <f t="shared" si="81"/>
        <v>0</v>
      </c>
      <c r="DX113" s="33">
        <v>0</v>
      </c>
      <c r="DY113" s="34"/>
      <c r="DZ113" s="34"/>
      <c r="EA113" s="35"/>
      <c r="EB113" s="36">
        <f t="shared" si="108"/>
        <v>0</v>
      </c>
      <c r="EC113" s="80"/>
      <c r="ED113" s="80"/>
      <c r="EE113" s="80"/>
      <c r="EF113" s="383"/>
      <c r="EG113" s="394"/>
      <c r="EH113" s="80"/>
      <c r="EI113" s="38" t="str">
        <f t="shared" si="90"/>
        <v/>
      </c>
      <c r="EJ113" s="37"/>
      <c r="EK113" s="37"/>
      <c r="EL113" s="37"/>
      <c r="EM113" s="37"/>
      <c r="EN113" s="37"/>
      <c r="EO113" s="37"/>
      <c r="EP113" s="37"/>
      <c r="EQ113" s="37"/>
      <c r="ER113" s="37"/>
      <c r="ES113" s="37"/>
      <c r="ET113" s="37"/>
      <c r="EU113" s="37"/>
      <c r="EV113" s="37"/>
      <c r="EW113" s="37"/>
      <c r="EX113" s="37"/>
      <c r="EY113" s="37"/>
      <c r="EZ113" s="37"/>
      <c r="FA113" s="37"/>
      <c r="FB113" s="37"/>
      <c r="FC113" s="37"/>
      <c r="FD113" s="37"/>
      <c r="FE113" s="37"/>
      <c r="FF113" s="37"/>
      <c r="FG113" s="37"/>
      <c r="FH113" s="37"/>
      <c r="FI113" s="37"/>
      <c r="FJ113" s="37"/>
      <c r="FK113" s="37"/>
      <c r="FL113" s="37"/>
      <c r="FM113" s="48" t="e">
        <f t="shared" si="73"/>
        <v>#DIV/0!</v>
      </c>
      <c r="FN113" s="48" t="e">
        <f t="shared" si="74"/>
        <v>#DIV/0!</v>
      </c>
      <c r="FO113" s="142" t="e">
        <f t="shared" si="75"/>
        <v>#DIV/0!</v>
      </c>
      <c r="FP113" s="142" t="e">
        <f t="shared" si="76"/>
        <v>#DIV/0!</v>
      </c>
      <c r="FQ113" s="180" t="e">
        <f t="shared" si="77"/>
        <v>#DIV/0!</v>
      </c>
    </row>
    <row r="114" spans="1:173" x14ac:dyDescent="0.15">
      <c r="A114" s="134">
        <v>116</v>
      </c>
      <c r="B114" t="s">
        <v>316</v>
      </c>
      <c r="AD114" s="136">
        <v>0</v>
      </c>
      <c r="BS114">
        <v>24.8</v>
      </c>
      <c r="BT114">
        <v>0.47</v>
      </c>
      <c r="BU114">
        <v>0.15</v>
      </c>
      <c r="BV114">
        <v>0.5</v>
      </c>
      <c r="BW114">
        <v>0.2</v>
      </c>
      <c r="BX114">
        <v>18.8</v>
      </c>
      <c r="BY114">
        <v>0.1</v>
      </c>
      <c r="CB114">
        <v>73.900000000000006</v>
      </c>
      <c r="CC114">
        <v>81.400000000000006</v>
      </c>
      <c r="CD114">
        <v>73</v>
      </c>
      <c r="CE114">
        <v>75</v>
      </c>
      <c r="CF114" s="4">
        <v>0</v>
      </c>
      <c r="CH114" s="107">
        <v>0</v>
      </c>
      <c r="CI114" s="107">
        <v>0</v>
      </c>
      <c r="CJ114" s="107">
        <v>0</v>
      </c>
      <c r="CK114" s="107">
        <v>0</v>
      </c>
      <c r="CL114" s="107">
        <v>0</v>
      </c>
      <c r="CM114" s="107">
        <v>0</v>
      </c>
      <c r="CN114" s="107">
        <v>0</v>
      </c>
      <c r="CO114" s="107">
        <v>0</v>
      </c>
      <c r="CP114" s="107">
        <v>0</v>
      </c>
      <c r="CQ114" s="107">
        <v>0</v>
      </c>
      <c r="CR114" s="107">
        <v>0</v>
      </c>
      <c r="CS114" s="107">
        <v>0</v>
      </c>
      <c r="CT114" s="107">
        <v>0</v>
      </c>
      <c r="CU114" s="107"/>
      <c r="CV114" s="107">
        <v>0</v>
      </c>
      <c r="CW114" s="107">
        <f t="shared" si="102"/>
        <v>0</v>
      </c>
      <c r="CX114" s="107">
        <f t="shared" si="103"/>
        <v>0</v>
      </c>
      <c r="CY114" s="107">
        <f t="shared" si="104"/>
        <v>0</v>
      </c>
      <c r="CZ114" s="107">
        <f t="shared" si="105"/>
        <v>0</v>
      </c>
      <c r="DA114" s="107">
        <f t="shared" si="106"/>
        <v>0</v>
      </c>
      <c r="DB114" s="107">
        <f t="shared" si="107"/>
        <v>0</v>
      </c>
      <c r="DC114" s="107">
        <f t="shared" si="78"/>
        <v>0</v>
      </c>
      <c r="DD114" s="107">
        <f t="shared" si="65"/>
        <v>0</v>
      </c>
      <c r="DE114" s="107">
        <f t="shared" si="64"/>
        <v>0</v>
      </c>
      <c r="DF114" s="107">
        <f t="shared" si="66"/>
        <v>0</v>
      </c>
      <c r="DG114" s="107">
        <f t="shared" si="67"/>
        <v>0</v>
      </c>
      <c r="DH114" s="107">
        <f t="shared" si="68"/>
        <v>0</v>
      </c>
      <c r="DI114" s="107"/>
      <c r="DJ114" s="107"/>
      <c r="DK114" s="107"/>
      <c r="DL114" s="107"/>
      <c r="DM114" s="107"/>
      <c r="DN114" s="107"/>
      <c r="DO114" s="107"/>
      <c r="DP114" s="107"/>
      <c r="DQ114">
        <f t="shared" si="69"/>
        <v>13.893200000000002</v>
      </c>
      <c r="DR114">
        <f t="shared" si="92"/>
        <v>15.303200000000002</v>
      </c>
      <c r="DS114">
        <f t="shared" si="79"/>
        <v>18.103999999999999</v>
      </c>
      <c r="DT114">
        <f t="shared" si="80"/>
        <v>18.600000000000001</v>
      </c>
      <c r="DU114"/>
      <c r="DV114" s="39"/>
      <c r="DW114" s="54">
        <f t="shared" si="81"/>
        <v>600</v>
      </c>
      <c r="DX114" s="33">
        <v>0.3</v>
      </c>
      <c r="DY114" s="79">
        <v>0</v>
      </c>
      <c r="DZ114" s="79">
        <v>0</v>
      </c>
      <c r="EA114" s="35">
        <v>1</v>
      </c>
      <c r="EB114" s="36">
        <f t="shared" si="108"/>
        <v>18.8</v>
      </c>
      <c r="EC114" s="80">
        <v>0</v>
      </c>
      <c r="ED114" s="80">
        <v>0</v>
      </c>
      <c r="EE114" s="80"/>
      <c r="EF114" s="383"/>
      <c r="EG114" s="394"/>
      <c r="EH114" s="80">
        <v>0</v>
      </c>
      <c r="EI114" s="38" t="str">
        <f t="shared" si="90"/>
        <v/>
      </c>
      <c r="EJ114" s="37"/>
      <c r="EK114" s="37"/>
      <c r="EL114" s="37"/>
      <c r="EM114" s="37"/>
      <c r="EN114" s="37"/>
      <c r="EO114" s="37"/>
      <c r="EP114" s="37"/>
      <c r="EQ114" s="37"/>
      <c r="ER114" s="37"/>
      <c r="ES114" s="37"/>
      <c r="ET114" s="37"/>
      <c r="EU114" s="37"/>
      <c r="EV114" s="37"/>
      <c r="EW114" s="37"/>
      <c r="EX114" s="37"/>
      <c r="EY114" s="37"/>
      <c r="EZ114" s="37"/>
      <c r="FA114" s="37"/>
      <c r="FB114" s="37"/>
      <c r="FC114" s="37"/>
      <c r="FD114" s="37"/>
      <c r="FE114" s="37"/>
      <c r="FF114" s="37"/>
      <c r="FG114" s="37"/>
      <c r="FH114" s="37"/>
      <c r="FI114" s="37"/>
      <c r="FJ114" s="37"/>
      <c r="FK114" s="37"/>
      <c r="FL114" s="37"/>
      <c r="FM114" s="48" t="e">
        <f t="shared" si="73"/>
        <v>#DIV/0!</v>
      </c>
      <c r="FN114" s="48" t="e">
        <f t="shared" si="74"/>
        <v>#DIV/0!</v>
      </c>
      <c r="FO114" s="142" t="e">
        <f t="shared" si="75"/>
        <v>#DIV/0!</v>
      </c>
      <c r="FP114" s="142" t="e">
        <f t="shared" si="76"/>
        <v>#DIV/0!</v>
      </c>
      <c r="FQ114" s="180" t="e">
        <f t="shared" si="77"/>
        <v>#DIV/0!</v>
      </c>
    </row>
    <row r="115" spans="1:173" x14ac:dyDescent="0.15">
      <c r="A115" s="134">
        <v>117</v>
      </c>
      <c r="B115" t="s">
        <v>317</v>
      </c>
      <c r="AD115" s="136">
        <v>0</v>
      </c>
      <c r="BS115">
        <v>18</v>
      </c>
      <c r="BU115">
        <v>0.16</v>
      </c>
      <c r="BV115">
        <v>0.9</v>
      </c>
      <c r="BW115">
        <v>0.2</v>
      </c>
      <c r="BX115">
        <v>21.5</v>
      </c>
      <c r="BY115">
        <v>0.8</v>
      </c>
      <c r="CB115">
        <v>82.8</v>
      </c>
      <c r="CC115">
        <v>88.3</v>
      </c>
      <c r="CD115">
        <v>77</v>
      </c>
      <c r="CE115">
        <v>80</v>
      </c>
      <c r="CF115" s="4">
        <v>0</v>
      </c>
      <c r="CH115" s="107">
        <v>0</v>
      </c>
      <c r="CI115" s="107">
        <v>0</v>
      </c>
      <c r="CJ115" s="107">
        <v>0</v>
      </c>
      <c r="CK115" s="107">
        <v>0</v>
      </c>
      <c r="CL115" s="107">
        <v>0</v>
      </c>
      <c r="CM115" s="107">
        <v>0</v>
      </c>
      <c r="CN115" s="107">
        <v>0</v>
      </c>
      <c r="CO115" s="107">
        <v>0</v>
      </c>
      <c r="CP115" s="107">
        <v>0</v>
      </c>
      <c r="CQ115" s="107">
        <v>0</v>
      </c>
      <c r="CR115" s="107">
        <v>0</v>
      </c>
      <c r="CS115" s="107">
        <v>0</v>
      </c>
      <c r="CT115" s="107">
        <v>0</v>
      </c>
      <c r="CU115" s="107"/>
      <c r="CV115" s="107">
        <v>0</v>
      </c>
      <c r="CW115" s="107">
        <f t="shared" si="102"/>
        <v>0</v>
      </c>
      <c r="CX115" s="107">
        <f t="shared" si="103"/>
        <v>0</v>
      </c>
      <c r="CY115" s="107">
        <f t="shared" si="104"/>
        <v>0</v>
      </c>
      <c r="CZ115" s="107">
        <f t="shared" si="105"/>
        <v>0</v>
      </c>
      <c r="DA115" s="107">
        <f t="shared" si="106"/>
        <v>0</v>
      </c>
      <c r="DB115" s="107">
        <f t="shared" si="107"/>
        <v>0</v>
      </c>
      <c r="DC115" s="107">
        <f t="shared" si="78"/>
        <v>0</v>
      </c>
      <c r="DD115" s="107">
        <f t="shared" si="65"/>
        <v>0</v>
      </c>
      <c r="DE115" s="107">
        <f t="shared" si="64"/>
        <v>0</v>
      </c>
      <c r="DF115" s="107">
        <f t="shared" si="66"/>
        <v>0</v>
      </c>
      <c r="DG115" s="107">
        <f t="shared" si="67"/>
        <v>0</v>
      </c>
      <c r="DH115" s="107">
        <f t="shared" si="68"/>
        <v>0</v>
      </c>
      <c r="DI115" s="107"/>
      <c r="DJ115" s="107"/>
      <c r="DK115" s="107"/>
      <c r="DL115" s="107"/>
      <c r="DM115" s="107"/>
      <c r="DN115" s="107"/>
      <c r="DO115" s="107"/>
      <c r="DP115" s="107"/>
      <c r="DQ115">
        <f t="shared" si="69"/>
        <v>17.802</v>
      </c>
      <c r="DR115">
        <f t="shared" si="92"/>
        <v>18.984500000000001</v>
      </c>
      <c r="DS115">
        <f t="shared" si="79"/>
        <v>13.86</v>
      </c>
      <c r="DT115">
        <f t="shared" si="80"/>
        <v>14.4</v>
      </c>
      <c r="DU115"/>
      <c r="DV115" s="39"/>
      <c r="DW115" s="54">
        <f t="shared" si="81"/>
        <v>560</v>
      </c>
      <c r="DX115" s="33">
        <f>IF('Lys Calculator-kg'!E5="$/ton",'Lys Calculator-kg'!D5/2000, IF('Lys Calculator-kg'!E5="$/tonne",'Lys Calculator-kg'!D5/2200))</f>
        <v>0.28000000000000003</v>
      </c>
      <c r="DY115" s="79">
        <v>0</v>
      </c>
      <c r="DZ115" s="79">
        <v>0</v>
      </c>
      <c r="EA115" s="35">
        <v>1</v>
      </c>
      <c r="EB115" s="36">
        <f t="shared" si="108"/>
        <v>21.5</v>
      </c>
      <c r="EC115" s="80">
        <v>0</v>
      </c>
      <c r="ED115" s="80">
        <v>0</v>
      </c>
      <c r="EE115" s="80"/>
      <c r="EF115" s="383"/>
      <c r="EG115" s="394"/>
      <c r="EH115" s="80">
        <v>0</v>
      </c>
      <c r="EI115" s="38" t="str">
        <f t="shared" si="90"/>
        <v/>
      </c>
      <c r="EJ115" s="37"/>
      <c r="EK115" s="37"/>
      <c r="EL115" s="37"/>
      <c r="EM115" s="37"/>
      <c r="EN115" s="37"/>
      <c r="EO115" s="37"/>
      <c r="EP115" s="37"/>
      <c r="EQ115" s="37"/>
      <c r="ER115" s="37"/>
      <c r="ES115" s="37"/>
      <c r="ET115" s="37"/>
      <c r="EU115" s="37"/>
      <c r="EV115" s="37"/>
      <c r="EW115" s="37"/>
      <c r="EX115" s="37"/>
      <c r="EY115" s="37"/>
      <c r="EZ115" s="37"/>
      <c r="FA115" s="37"/>
      <c r="FB115" s="37"/>
      <c r="FC115" s="37"/>
      <c r="FD115" s="37"/>
      <c r="FE115" s="37"/>
      <c r="FF115" s="37"/>
      <c r="FG115" s="37"/>
      <c r="FH115" s="37"/>
      <c r="FI115" s="37"/>
      <c r="FJ115" s="37"/>
      <c r="FK115" s="37"/>
      <c r="FL115" s="37"/>
      <c r="FM115" s="48" t="e">
        <f t="shared" si="73"/>
        <v>#DIV/0!</v>
      </c>
      <c r="FN115" s="48" t="e">
        <f t="shared" si="74"/>
        <v>#DIV/0!</v>
      </c>
      <c r="FO115" s="142" t="e">
        <f t="shared" si="75"/>
        <v>#DIV/0!</v>
      </c>
      <c r="FP115" s="142" t="e">
        <f t="shared" si="76"/>
        <v>#DIV/0!</v>
      </c>
      <c r="FQ115" s="180" t="e">
        <f t="shared" si="77"/>
        <v>#DIV/0!</v>
      </c>
    </row>
    <row r="116" spans="1:173" x14ac:dyDescent="0.15">
      <c r="A116" s="134">
        <v>118</v>
      </c>
      <c r="B116" t="s">
        <v>318</v>
      </c>
      <c r="AD116" s="136">
        <v>0</v>
      </c>
      <c r="BS116">
        <v>21.85</v>
      </c>
      <c r="BV116">
        <v>0.48</v>
      </c>
      <c r="BY116">
        <v>16.190000000000001</v>
      </c>
      <c r="CF116" s="4">
        <v>0</v>
      </c>
      <c r="CH116" s="107">
        <v>0</v>
      </c>
      <c r="CI116" s="107">
        <v>0</v>
      </c>
      <c r="CJ116" s="107">
        <v>0</v>
      </c>
      <c r="CK116" s="107">
        <v>0</v>
      </c>
      <c r="CL116" s="107">
        <v>0</v>
      </c>
      <c r="CM116" s="107">
        <v>0</v>
      </c>
      <c r="CN116" s="107">
        <v>0</v>
      </c>
      <c r="CO116" s="107">
        <v>0</v>
      </c>
      <c r="CP116" s="107">
        <v>0</v>
      </c>
      <c r="CQ116" s="107">
        <v>0</v>
      </c>
      <c r="CR116" s="107">
        <v>0</v>
      </c>
      <c r="CS116" s="107">
        <v>0</v>
      </c>
      <c r="CT116" s="107">
        <v>0</v>
      </c>
      <c r="CU116" s="107"/>
      <c r="CV116" s="107">
        <v>0</v>
      </c>
      <c r="CW116" s="107">
        <f t="shared" si="102"/>
        <v>0</v>
      </c>
      <c r="CX116" s="107">
        <f t="shared" si="103"/>
        <v>0</v>
      </c>
      <c r="CY116" s="107">
        <f t="shared" si="104"/>
        <v>0</v>
      </c>
      <c r="CZ116" s="107">
        <f t="shared" si="105"/>
        <v>0</v>
      </c>
      <c r="DA116" s="107">
        <f t="shared" si="106"/>
        <v>0</v>
      </c>
      <c r="DB116" s="107">
        <f t="shared" si="107"/>
        <v>0</v>
      </c>
      <c r="DC116" s="107">
        <f t="shared" si="78"/>
        <v>0</v>
      </c>
      <c r="DD116" s="107">
        <f t="shared" si="65"/>
        <v>0</v>
      </c>
      <c r="DE116" s="107">
        <f t="shared" si="64"/>
        <v>0</v>
      </c>
      <c r="DF116" s="107">
        <f t="shared" si="66"/>
        <v>0</v>
      </c>
      <c r="DG116" s="107">
        <f t="shared" si="67"/>
        <v>0</v>
      </c>
      <c r="DH116" s="107">
        <f t="shared" si="68"/>
        <v>0</v>
      </c>
      <c r="DI116" s="107"/>
      <c r="DJ116" s="107"/>
      <c r="DK116" s="107"/>
      <c r="DL116" s="107"/>
      <c r="DM116" s="107"/>
      <c r="DN116" s="107"/>
      <c r="DO116" s="107"/>
      <c r="DP116" s="107"/>
      <c r="DQ116">
        <f t="shared" si="69"/>
        <v>0</v>
      </c>
      <c r="DR116">
        <f t="shared" si="92"/>
        <v>0</v>
      </c>
      <c r="DS116">
        <f t="shared" si="79"/>
        <v>0</v>
      </c>
      <c r="DT116">
        <f t="shared" si="80"/>
        <v>0</v>
      </c>
      <c r="DU116"/>
      <c r="DV116" s="32"/>
      <c r="DW116" s="54">
        <f t="shared" si="81"/>
        <v>0</v>
      </c>
      <c r="DX116" s="33">
        <v>0</v>
      </c>
      <c r="DY116" s="34"/>
      <c r="DZ116" s="34"/>
      <c r="EA116" s="35"/>
      <c r="EB116" s="36">
        <f t="shared" si="108"/>
        <v>0</v>
      </c>
      <c r="EC116" s="80"/>
      <c r="ED116" s="80"/>
      <c r="EE116" s="80"/>
      <c r="EF116" s="383"/>
      <c r="EG116" s="394"/>
      <c r="EH116" s="80"/>
      <c r="EI116" s="38"/>
      <c r="EJ116" s="37"/>
      <c r="EK116" s="37"/>
      <c r="EL116" s="37"/>
      <c r="EM116" s="37"/>
      <c r="EN116" s="37"/>
      <c r="EO116" s="37"/>
      <c r="EP116" s="37"/>
      <c r="EQ116" s="37"/>
      <c r="ER116" s="37"/>
      <c r="ES116" s="37"/>
      <c r="ET116" s="37"/>
      <c r="EU116" s="37"/>
      <c r="EV116" s="37"/>
      <c r="EW116" s="37"/>
      <c r="EX116" s="37"/>
      <c r="EY116" s="37"/>
      <c r="EZ116" s="37"/>
      <c r="FA116" s="37"/>
      <c r="FB116" s="37"/>
      <c r="FC116" s="37"/>
      <c r="FD116" s="37"/>
      <c r="FE116" s="37"/>
      <c r="FF116" s="37"/>
      <c r="FG116" s="37"/>
      <c r="FH116" s="37"/>
      <c r="FI116" s="37"/>
      <c r="FJ116" s="37"/>
      <c r="FK116" s="37"/>
      <c r="FL116" s="37"/>
      <c r="FM116" s="48" t="e">
        <f t="shared" si="73"/>
        <v>#DIV/0!</v>
      </c>
      <c r="FN116" s="48" t="e">
        <f t="shared" si="74"/>
        <v>#DIV/0!</v>
      </c>
      <c r="FO116" s="142" t="e">
        <f t="shared" si="75"/>
        <v>#DIV/0!</v>
      </c>
      <c r="FP116" s="142" t="e">
        <f t="shared" si="76"/>
        <v>#DIV/0!</v>
      </c>
      <c r="FQ116" s="180" t="e">
        <f t="shared" si="77"/>
        <v>#DIV/0!</v>
      </c>
    </row>
    <row r="117" spans="1:173" x14ac:dyDescent="0.15">
      <c r="A117" s="134">
        <v>119</v>
      </c>
      <c r="B117" s="128" t="s">
        <v>329</v>
      </c>
      <c r="AD117" s="136">
        <v>0</v>
      </c>
      <c r="BS117">
        <v>35.840000000000003</v>
      </c>
      <c r="BT117">
        <v>0.02</v>
      </c>
      <c r="BU117">
        <v>0.11</v>
      </c>
      <c r="BV117">
        <v>2.06</v>
      </c>
      <c r="BW117">
        <v>0.06</v>
      </c>
      <c r="BX117">
        <v>0.01</v>
      </c>
      <c r="BY117">
        <v>0.04</v>
      </c>
      <c r="CD117">
        <v>64</v>
      </c>
      <c r="CE117">
        <v>71</v>
      </c>
      <c r="CF117" s="4">
        <v>0</v>
      </c>
      <c r="CH117" s="107">
        <v>0</v>
      </c>
      <c r="CI117" s="107">
        <v>0</v>
      </c>
      <c r="CJ117" s="107">
        <v>0</v>
      </c>
      <c r="CK117" s="107">
        <v>0</v>
      </c>
      <c r="CL117" s="107">
        <v>0</v>
      </c>
      <c r="CM117" s="107">
        <v>0</v>
      </c>
      <c r="CN117" s="107">
        <v>0</v>
      </c>
      <c r="CO117" s="107">
        <v>0</v>
      </c>
      <c r="CP117" s="107">
        <v>0</v>
      </c>
      <c r="CQ117" s="107">
        <v>0</v>
      </c>
      <c r="CR117" s="107">
        <v>0</v>
      </c>
      <c r="CS117" s="107">
        <v>0</v>
      </c>
      <c r="CT117" s="107">
        <v>0</v>
      </c>
      <c r="CU117" s="107"/>
      <c r="CV117" s="107">
        <v>0</v>
      </c>
      <c r="CW117" s="107">
        <f t="shared" si="102"/>
        <v>0</v>
      </c>
      <c r="CX117" s="107">
        <f t="shared" si="103"/>
        <v>0</v>
      </c>
      <c r="CY117" s="107">
        <f t="shared" si="104"/>
        <v>0</v>
      </c>
      <c r="CZ117" s="107">
        <f t="shared" si="105"/>
        <v>0</v>
      </c>
      <c r="DA117" s="107">
        <f t="shared" si="106"/>
        <v>0</v>
      </c>
      <c r="DB117" s="107">
        <f t="shared" si="107"/>
        <v>0</v>
      </c>
      <c r="DC117" s="107">
        <f t="shared" si="78"/>
        <v>0</v>
      </c>
      <c r="DD117" s="107">
        <f t="shared" si="65"/>
        <v>0</v>
      </c>
      <c r="DE117" s="107">
        <f t="shared" si="64"/>
        <v>0</v>
      </c>
      <c r="DF117" s="107">
        <f t="shared" si="66"/>
        <v>0</v>
      </c>
      <c r="DG117" s="107">
        <f t="shared" si="67"/>
        <v>0</v>
      </c>
      <c r="DH117" s="107">
        <f t="shared" si="68"/>
        <v>0</v>
      </c>
      <c r="DI117" s="107"/>
      <c r="DJ117" s="107"/>
      <c r="DK117" s="107"/>
      <c r="DL117" s="107"/>
      <c r="DM117" s="107"/>
      <c r="DN117" s="107"/>
      <c r="DO117" s="107"/>
      <c r="DP117" s="107"/>
      <c r="DQ117">
        <f t="shared" si="69"/>
        <v>0</v>
      </c>
      <c r="DR117">
        <f t="shared" si="92"/>
        <v>0</v>
      </c>
      <c r="DS117">
        <f t="shared" si="79"/>
        <v>22.937600000000003</v>
      </c>
      <c r="DT117">
        <f t="shared" si="80"/>
        <v>25.446400000000004</v>
      </c>
      <c r="DU117"/>
      <c r="DV117" s="32"/>
      <c r="DW117" s="54">
        <f t="shared" si="81"/>
        <v>40</v>
      </c>
      <c r="DX117" s="33">
        <v>0.02</v>
      </c>
      <c r="DY117" s="79">
        <v>0</v>
      </c>
      <c r="DZ117" s="79">
        <v>0</v>
      </c>
      <c r="EA117" s="149">
        <v>0</v>
      </c>
      <c r="EB117" s="36">
        <f t="shared" si="108"/>
        <v>0</v>
      </c>
      <c r="EC117" s="80">
        <v>0</v>
      </c>
      <c r="ED117" s="80">
        <v>0</v>
      </c>
      <c r="EE117" s="80"/>
      <c r="EF117" s="383"/>
      <c r="EG117" s="394"/>
      <c r="EH117" s="80">
        <v>0</v>
      </c>
      <c r="EI117" s="38" t="str">
        <f>IF(AR117="","",AR117*BL117)</f>
        <v/>
      </c>
      <c r="EJ117" s="37"/>
      <c r="EK117" s="37"/>
      <c r="EL117" s="37"/>
      <c r="EM117" s="37"/>
      <c r="EN117" s="37"/>
      <c r="EO117" s="37"/>
      <c r="EP117" s="37"/>
      <c r="EQ117" s="37"/>
      <c r="ER117" s="37"/>
      <c r="ES117" s="37"/>
      <c r="ET117" s="37"/>
      <c r="EU117" s="37"/>
      <c r="EV117" s="37"/>
      <c r="EW117" s="37"/>
      <c r="EX117" s="37"/>
      <c r="EY117" s="37"/>
      <c r="EZ117" s="37"/>
      <c r="FA117" s="37"/>
      <c r="FB117" s="37"/>
      <c r="FC117" s="37"/>
      <c r="FD117" s="37"/>
      <c r="FE117" s="37"/>
      <c r="FF117" s="37"/>
      <c r="FG117" s="37"/>
      <c r="FH117" s="37"/>
      <c r="FI117" s="37"/>
      <c r="FJ117" s="37"/>
      <c r="FK117" s="37"/>
      <c r="FL117" s="37"/>
      <c r="FM117" s="48" t="e">
        <f t="shared" si="73"/>
        <v>#DIV/0!</v>
      </c>
      <c r="FN117" s="48" t="e">
        <f t="shared" si="74"/>
        <v>#DIV/0!</v>
      </c>
      <c r="FO117" s="142" t="e">
        <f t="shared" si="75"/>
        <v>#DIV/0!</v>
      </c>
      <c r="FP117" s="142" t="e">
        <f t="shared" si="76"/>
        <v>#DIV/0!</v>
      </c>
      <c r="FQ117" s="180" t="e">
        <f t="shared" si="77"/>
        <v>#DIV/0!</v>
      </c>
    </row>
    <row r="118" spans="1:173" x14ac:dyDescent="0.15">
      <c r="A118" s="134">
        <v>120</v>
      </c>
      <c r="B118" t="s">
        <v>319</v>
      </c>
      <c r="AD118" s="136">
        <v>0</v>
      </c>
      <c r="BS118">
        <v>10.1</v>
      </c>
      <c r="BX118">
        <v>19.7</v>
      </c>
      <c r="CB118">
        <v>83.9</v>
      </c>
      <c r="CC118">
        <v>98.2</v>
      </c>
      <c r="CF118" s="4">
        <v>0</v>
      </c>
      <c r="CH118" s="107">
        <v>0</v>
      </c>
      <c r="CI118" s="107">
        <v>0</v>
      </c>
      <c r="CJ118" s="107">
        <v>0</v>
      </c>
      <c r="CK118" s="107">
        <v>0</v>
      </c>
      <c r="CL118" s="107">
        <v>0</v>
      </c>
      <c r="CM118" s="107">
        <v>0</v>
      </c>
      <c r="CN118" s="107">
        <v>0</v>
      </c>
      <c r="CO118" s="107">
        <v>0</v>
      </c>
      <c r="CP118" s="107">
        <v>0</v>
      </c>
      <c r="CQ118" s="107">
        <v>0</v>
      </c>
      <c r="CR118" s="107">
        <v>0</v>
      </c>
      <c r="CS118" s="107">
        <v>0</v>
      </c>
      <c r="CT118" s="107">
        <v>0</v>
      </c>
      <c r="CU118" s="107"/>
      <c r="CV118" s="107">
        <v>0</v>
      </c>
      <c r="CW118" s="107">
        <f t="shared" si="102"/>
        <v>0</v>
      </c>
      <c r="CX118" s="107">
        <f t="shared" si="103"/>
        <v>0</v>
      </c>
      <c r="CY118" s="107">
        <f t="shared" si="104"/>
        <v>0</v>
      </c>
      <c r="CZ118" s="107">
        <f t="shared" si="105"/>
        <v>0</v>
      </c>
      <c r="DA118" s="107">
        <f t="shared" si="106"/>
        <v>0</v>
      </c>
      <c r="DB118" s="107">
        <f t="shared" si="107"/>
        <v>0</v>
      </c>
      <c r="DC118" s="107">
        <f t="shared" si="78"/>
        <v>0</v>
      </c>
      <c r="DD118" s="107">
        <f t="shared" si="65"/>
        <v>0</v>
      </c>
      <c r="DE118" s="107">
        <f t="shared" si="64"/>
        <v>0</v>
      </c>
      <c r="DF118" s="107">
        <f t="shared" si="66"/>
        <v>0</v>
      </c>
      <c r="DG118" s="107">
        <f t="shared" si="67"/>
        <v>0</v>
      </c>
      <c r="DH118" s="107">
        <f t="shared" si="68"/>
        <v>0</v>
      </c>
      <c r="DI118" s="107"/>
      <c r="DJ118" s="107"/>
      <c r="DK118" s="107"/>
      <c r="DL118" s="107"/>
      <c r="DM118" s="107"/>
      <c r="DN118" s="107"/>
      <c r="DO118" s="107"/>
      <c r="DP118" s="107"/>
      <c r="DQ118">
        <f t="shared" si="69"/>
        <v>16.528300000000002</v>
      </c>
      <c r="DR118">
        <f t="shared" ref="DR118:DR121" si="109">CC118*BX118/100</f>
        <v>19.345399999999998</v>
      </c>
      <c r="DS118">
        <f t="shared" si="79"/>
        <v>0</v>
      </c>
      <c r="DT118">
        <f t="shared" si="80"/>
        <v>0</v>
      </c>
      <c r="DU118"/>
      <c r="DV118" s="32"/>
      <c r="DW118" s="54">
        <f t="shared" si="81"/>
        <v>0</v>
      </c>
      <c r="DX118" s="33">
        <v>0</v>
      </c>
      <c r="DY118" s="34"/>
      <c r="DZ118" s="34"/>
      <c r="EA118" s="35"/>
      <c r="EB118" s="36">
        <f t="shared" si="108"/>
        <v>0</v>
      </c>
      <c r="EC118" s="80"/>
      <c r="ED118" s="80"/>
      <c r="EE118" s="80"/>
      <c r="EF118" s="383"/>
      <c r="EG118" s="394"/>
      <c r="EH118" s="80"/>
      <c r="EI118" s="38"/>
      <c r="EJ118" s="37"/>
      <c r="EK118" s="37"/>
      <c r="EL118" s="37"/>
      <c r="EM118" s="37"/>
      <c r="EN118" s="37"/>
      <c r="EO118" s="37"/>
      <c r="EP118" s="37"/>
      <c r="EQ118" s="37"/>
      <c r="ER118" s="37"/>
      <c r="ES118" s="37"/>
      <c r="ET118" s="37"/>
      <c r="EU118" s="37"/>
      <c r="EV118" s="37"/>
      <c r="EW118" s="37"/>
      <c r="EX118" s="37"/>
      <c r="EY118" s="37"/>
      <c r="EZ118" s="37"/>
      <c r="FA118" s="37"/>
      <c r="FB118" s="37"/>
      <c r="FC118" s="37"/>
      <c r="FD118" s="37"/>
      <c r="FE118" s="37"/>
      <c r="FF118" s="37"/>
      <c r="FG118" s="37"/>
      <c r="FH118" s="37"/>
      <c r="FI118" s="37"/>
      <c r="FJ118" s="37"/>
      <c r="FK118" s="37"/>
      <c r="FL118" s="37"/>
      <c r="FM118" s="48" t="e">
        <f t="shared" si="73"/>
        <v>#DIV/0!</v>
      </c>
      <c r="FN118" s="48" t="e">
        <f t="shared" si="74"/>
        <v>#DIV/0!</v>
      </c>
      <c r="FO118" s="142" t="e">
        <f t="shared" si="75"/>
        <v>#DIV/0!</v>
      </c>
      <c r="FP118" s="142" t="e">
        <f t="shared" si="76"/>
        <v>#DIV/0!</v>
      </c>
      <c r="FQ118" s="180" t="e">
        <f t="shared" si="77"/>
        <v>#DIV/0!</v>
      </c>
    </row>
    <row r="119" spans="1:173" x14ac:dyDescent="0.15">
      <c r="A119" s="134">
        <v>121</v>
      </c>
      <c r="B119" t="s">
        <v>320</v>
      </c>
      <c r="AD119" s="136">
        <v>0</v>
      </c>
      <c r="BW119">
        <v>43.3</v>
      </c>
      <c r="CF119" s="4">
        <v>0</v>
      </c>
      <c r="CH119" s="107">
        <v>0</v>
      </c>
      <c r="CI119" s="107">
        <v>0</v>
      </c>
      <c r="CJ119" s="107">
        <v>0</v>
      </c>
      <c r="CK119" s="107">
        <v>0</v>
      </c>
      <c r="CL119" s="107">
        <v>0</v>
      </c>
      <c r="CM119" s="107">
        <v>0</v>
      </c>
      <c r="CN119" s="107">
        <v>0</v>
      </c>
      <c r="CO119" s="107">
        <v>0</v>
      </c>
      <c r="CP119" s="107">
        <v>0</v>
      </c>
      <c r="CQ119" s="107">
        <v>0</v>
      </c>
      <c r="CR119" s="107">
        <v>0</v>
      </c>
      <c r="CS119" s="107">
        <v>0</v>
      </c>
      <c r="CT119" s="107">
        <v>0</v>
      </c>
      <c r="CU119" s="107"/>
      <c r="CV119" s="107">
        <v>0</v>
      </c>
      <c r="CW119" s="107">
        <f t="shared" si="102"/>
        <v>0</v>
      </c>
      <c r="CX119" s="107">
        <f t="shared" si="103"/>
        <v>0</v>
      </c>
      <c r="CY119" s="107">
        <f t="shared" si="104"/>
        <v>0</v>
      </c>
      <c r="CZ119" s="107">
        <f t="shared" si="105"/>
        <v>0</v>
      </c>
      <c r="DA119" s="107">
        <f t="shared" si="106"/>
        <v>0</v>
      </c>
      <c r="DB119" s="107">
        <f t="shared" si="107"/>
        <v>0</v>
      </c>
      <c r="DC119" s="107">
        <f t="shared" si="78"/>
        <v>0</v>
      </c>
      <c r="DD119" s="107">
        <f t="shared" si="65"/>
        <v>0</v>
      </c>
      <c r="DE119" s="107">
        <f t="shared" si="64"/>
        <v>0</v>
      </c>
      <c r="DF119" s="107">
        <f t="shared" si="66"/>
        <v>0</v>
      </c>
      <c r="DG119" s="107">
        <f t="shared" si="67"/>
        <v>0</v>
      </c>
      <c r="DH119" s="107">
        <f t="shared" si="68"/>
        <v>0</v>
      </c>
      <c r="DI119" s="107"/>
      <c r="DJ119" s="107"/>
      <c r="DK119" s="107"/>
      <c r="DL119" s="107"/>
      <c r="DM119" s="107"/>
      <c r="DN119" s="107"/>
      <c r="DO119" s="107"/>
      <c r="DP119" s="107"/>
      <c r="DQ119">
        <f t="shared" si="69"/>
        <v>0</v>
      </c>
      <c r="DR119">
        <f t="shared" si="109"/>
        <v>0</v>
      </c>
      <c r="DS119">
        <f t="shared" si="79"/>
        <v>0</v>
      </c>
      <c r="DT119">
        <f t="shared" si="80"/>
        <v>0</v>
      </c>
      <c r="DU119"/>
      <c r="DV119" s="32"/>
      <c r="DW119" s="54">
        <f t="shared" si="81"/>
        <v>0</v>
      </c>
      <c r="DX119" s="33">
        <v>0</v>
      </c>
      <c r="DY119" s="34"/>
      <c r="DZ119" s="34"/>
      <c r="EA119" s="35"/>
      <c r="EB119" s="36">
        <f t="shared" si="108"/>
        <v>0</v>
      </c>
      <c r="EC119" s="80"/>
      <c r="ED119" s="80"/>
      <c r="EE119" s="80"/>
      <c r="EF119" s="383"/>
      <c r="EG119" s="394"/>
      <c r="EH119" s="80"/>
      <c r="EI119" s="38"/>
      <c r="EJ119" s="37"/>
      <c r="EK119" s="37"/>
      <c r="EL119" s="37"/>
      <c r="EM119" s="37"/>
      <c r="EN119" s="37"/>
      <c r="EO119" s="37"/>
      <c r="EP119" s="37"/>
      <c r="EQ119" s="37"/>
      <c r="ER119" s="37"/>
      <c r="ES119" s="37"/>
      <c r="ET119" s="37"/>
      <c r="EU119" s="37"/>
      <c r="EV119" s="37"/>
      <c r="EW119" s="37"/>
      <c r="EX119" s="37"/>
      <c r="EY119" s="37"/>
      <c r="EZ119" s="37"/>
      <c r="FA119" s="37"/>
      <c r="FB119" s="37"/>
      <c r="FC119" s="37"/>
      <c r="FD119" s="37"/>
      <c r="FE119" s="37"/>
      <c r="FF119" s="37"/>
      <c r="FG119" s="37"/>
      <c r="FH119" s="37"/>
      <c r="FI119" s="37"/>
      <c r="FJ119" s="37"/>
      <c r="FK119" s="37"/>
      <c r="FL119" s="37"/>
      <c r="FM119" s="48" t="e">
        <f t="shared" si="73"/>
        <v>#DIV/0!</v>
      </c>
      <c r="FN119" s="48" t="e">
        <f t="shared" si="74"/>
        <v>#DIV/0!</v>
      </c>
      <c r="FO119" s="142" t="e">
        <f t="shared" si="75"/>
        <v>#DIV/0!</v>
      </c>
      <c r="FP119" s="142" t="e">
        <f t="shared" si="76"/>
        <v>#DIV/0!</v>
      </c>
      <c r="FQ119" s="180" t="e">
        <f t="shared" si="77"/>
        <v>#DIV/0!</v>
      </c>
    </row>
    <row r="120" spans="1:173" x14ac:dyDescent="0.15">
      <c r="A120" s="134">
        <v>122</v>
      </c>
      <c r="B120" t="s">
        <v>321</v>
      </c>
      <c r="AD120" s="136">
        <v>0</v>
      </c>
      <c r="BS120">
        <v>0.01</v>
      </c>
      <c r="BU120">
        <v>0.01</v>
      </c>
      <c r="BW120">
        <v>27</v>
      </c>
      <c r="CF120" s="4">
        <v>0</v>
      </c>
      <c r="CH120" s="107">
        <v>0</v>
      </c>
      <c r="CI120" s="107">
        <v>0</v>
      </c>
      <c r="CJ120" s="107">
        <v>0</v>
      </c>
      <c r="CK120" s="107">
        <v>0</v>
      </c>
      <c r="CL120" s="107">
        <v>0</v>
      </c>
      <c r="CM120" s="107">
        <v>0</v>
      </c>
      <c r="CN120" s="107">
        <v>0</v>
      </c>
      <c r="CO120" s="107">
        <v>0</v>
      </c>
      <c r="CP120" s="107">
        <v>0</v>
      </c>
      <c r="CQ120" s="107">
        <v>0</v>
      </c>
      <c r="CR120" s="107">
        <v>0</v>
      </c>
      <c r="CS120" s="107">
        <v>0</v>
      </c>
      <c r="CT120" s="107">
        <v>0</v>
      </c>
      <c r="CU120" s="107"/>
      <c r="CV120" s="107">
        <v>0</v>
      </c>
      <c r="CW120" s="107">
        <f t="shared" si="102"/>
        <v>0</v>
      </c>
      <c r="CX120" s="107">
        <f t="shared" si="103"/>
        <v>0</v>
      </c>
      <c r="CY120" s="107">
        <f t="shared" si="104"/>
        <v>0</v>
      </c>
      <c r="CZ120" s="107">
        <f t="shared" si="105"/>
        <v>0</v>
      </c>
      <c r="DA120" s="107">
        <f t="shared" si="106"/>
        <v>0</v>
      </c>
      <c r="DB120" s="107">
        <f t="shared" si="107"/>
        <v>0</v>
      </c>
      <c r="DC120" s="107">
        <f t="shared" si="78"/>
        <v>0</v>
      </c>
      <c r="DD120" s="107">
        <f t="shared" si="65"/>
        <v>0</v>
      </c>
      <c r="DE120" s="107">
        <f t="shared" si="64"/>
        <v>0</v>
      </c>
      <c r="DF120" s="107">
        <f t="shared" si="66"/>
        <v>0</v>
      </c>
      <c r="DG120" s="107">
        <f t="shared" si="67"/>
        <v>0</v>
      </c>
      <c r="DH120" s="107">
        <f t="shared" si="68"/>
        <v>0</v>
      </c>
      <c r="DI120" s="107"/>
      <c r="DJ120" s="107"/>
      <c r="DK120" s="107"/>
      <c r="DL120" s="107"/>
      <c r="DM120" s="107"/>
      <c r="DN120" s="107"/>
      <c r="DO120" s="107"/>
      <c r="DP120" s="107"/>
      <c r="DQ120">
        <f t="shared" si="69"/>
        <v>0</v>
      </c>
      <c r="DR120">
        <f t="shared" si="109"/>
        <v>0</v>
      </c>
      <c r="DS120">
        <f t="shared" si="79"/>
        <v>0</v>
      </c>
      <c r="DT120">
        <f t="shared" si="80"/>
        <v>0</v>
      </c>
      <c r="DU120"/>
      <c r="DV120" s="32"/>
      <c r="DW120" s="54">
        <f t="shared" si="81"/>
        <v>0</v>
      </c>
      <c r="DX120" s="33">
        <v>0</v>
      </c>
      <c r="DY120" s="34"/>
      <c r="DZ120" s="34"/>
      <c r="EA120" s="35"/>
      <c r="EB120" s="36">
        <f t="shared" si="108"/>
        <v>0</v>
      </c>
      <c r="EC120" s="80"/>
      <c r="ED120" s="80"/>
      <c r="EE120" s="80"/>
      <c r="EF120" s="383"/>
      <c r="EG120" s="394"/>
      <c r="EH120" s="80"/>
      <c r="EI120" s="38"/>
      <c r="EJ120" s="37"/>
      <c r="EK120" s="37"/>
      <c r="EL120" s="37"/>
      <c r="EM120" s="37"/>
      <c r="EN120" s="37"/>
      <c r="EO120" s="37"/>
      <c r="EP120" s="37"/>
      <c r="EQ120" s="37"/>
      <c r="ER120" s="37"/>
      <c r="ES120" s="37"/>
      <c r="ET120" s="37"/>
      <c r="EU120" s="37"/>
      <c r="EV120" s="37"/>
      <c r="EW120" s="37"/>
      <c r="EX120" s="37"/>
      <c r="EY120" s="37"/>
      <c r="EZ120" s="37"/>
      <c r="FA120" s="37"/>
      <c r="FB120" s="37"/>
      <c r="FC120" s="37"/>
      <c r="FD120" s="37"/>
      <c r="FE120" s="37"/>
      <c r="FF120" s="37"/>
      <c r="FG120" s="37"/>
      <c r="FH120" s="37"/>
      <c r="FI120" s="37"/>
      <c r="FJ120" s="37"/>
      <c r="FK120" s="37"/>
      <c r="FL120" s="37"/>
      <c r="FM120" s="48" t="e">
        <f t="shared" si="73"/>
        <v>#DIV/0!</v>
      </c>
      <c r="FN120" s="48" t="e">
        <f t="shared" si="74"/>
        <v>#DIV/0!</v>
      </c>
      <c r="FO120" s="142" t="e">
        <f t="shared" si="75"/>
        <v>#DIV/0!</v>
      </c>
      <c r="FP120" s="142" t="e">
        <f t="shared" si="76"/>
        <v>#DIV/0!</v>
      </c>
      <c r="FQ120" s="180" t="e">
        <f t="shared" si="77"/>
        <v>#DIV/0!</v>
      </c>
    </row>
    <row r="121" spans="1:173" x14ac:dyDescent="0.15">
      <c r="A121" s="134">
        <v>123</v>
      </c>
      <c r="B121" t="s">
        <v>322</v>
      </c>
      <c r="AD121" s="136">
        <v>0</v>
      </c>
      <c r="BS121">
        <v>0.3</v>
      </c>
      <c r="BT121">
        <v>59</v>
      </c>
      <c r="BU121">
        <v>0</v>
      </c>
      <c r="BV121">
        <v>5.0000000000000001E-3</v>
      </c>
      <c r="BW121">
        <v>39.5</v>
      </c>
      <c r="BY121">
        <v>0.2</v>
      </c>
      <c r="CF121" s="4">
        <v>0</v>
      </c>
      <c r="CH121" s="107">
        <v>0</v>
      </c>
      <c r="CI121" s="107">
        <v>0</v>
      </c>
      <c r="CJ121" s="107">
        <v>0</v>
      </c>
      <c r="CK121" s="107">
        <v>0</v>
      </c>
      <c r="CL121" s="107">
        <v>0</v>
      </c>
      <c r="CM121" s="107">
        <v>0</v>
      </c>
      <c r="CN121" s="107">
        <v>0</v>
      </c>
      <c r="CO121" s="107">
        <v>0</v>
      </c>
      <c r="CP121" s="107">
        <v>0</v>
      </c>
      <c r="CQ121" s="107">
        <v>0</v>
      </c>
      <c r="CR121" s="107">
        <v>0</v>
      </c>
      <c r="CS121" s="107">
        <v>0</v>
      </c>
      <c r="CT121" s="107">
        <v>0</v>
      </c>
      <c r="CU121" s="107"/>
      <c r="CV121" s="107">
        <v>0</v>
      </c>
      <c r="CW121" s="107">
        <f t="shared" si="102"/>
        <v>0</v>
      </c>
      <c r="CX121" s="107">
        <f t="shared" si="103"/>
        <v>0</v>
      </c>
      <c r="CY121" s="107">
        <f t="shared" si="104"/>
        <v>0</v>
      </c>
      <c r="CZ121" s="107">
        <f t="shared" si="105"/>
        <v>0</v>
      </c>
      <c r="DA121" s="107">
        <f t="shared" si="106"/>
        <v>0</v>
      </c>
      <c r="DB121" s="107">
        <f t="shared" si="107"/>
        <v>0</v>
      </c>
      <c r="DC121" s="107">
        <f t="shared" si="78"/>
        <v>0</v>
      </c>
      <c r="DD121" s="107">
        <f t="shared" si="65"/>
        <v>0</v>
      </c>
      <c r="DE121" s="107">
        <f t="shared" si="64"/>
        <v>0</v>
      </c>
      <c r="DF121" s="107">
        <f t="shared" si="66"/>
        <v>0</v>
      </c>
      <c r="DG121" s="107">
        <f t="shared" si="67"/>
        <v>0</v>
      </c>
      <c r="DH121" s="107">
        <f t="shared" si="68"/>
        <v>0</v>
      </c>
      <c r="DI121" s="107"/>
      <c r="DJ121" s="107"/>
      <c r="DK121" s="107"/>
      <c r="DL121" s="107"/>
      <c r="DM121" s="107"/>
      <c r="DN121" s="107"/>
      <c r="DO121" s="107"/>
      <c r="DP121" s="107"/>
      <c r="DQ121">
        <f t="shared" si="69"/>
        <v>0</v>
      </c>
      <c r="DR121">
        <f t="shared" si="109"/>
        <v>0</v>
      </c>
      <c r="DS121">
        <f t="shared" si="79"/>
        <v>0</v>
      </c>
      <c r="DT121">
        <f t="shared" si="80"/>
        <v>0</v>
      </c>
      <c r="DU121"/>
      <c r="DV121" s="32"/>
      <c r="DW121" s="54">
        <f t="shared" si="81"/>
        <v>70</v>
      </c>
      <c r="DX121" s="33">
        <v>3.5000000000000003E-2</v>
      </c>
      <c r="DY121" s="79">
        <v>0</v>
      </c>
      <c r="DZ121" s="79">
        <v>0</v>
      </c>
      <c r="EA121" s="149">
        <v>0</v>
      </c>
      <c r="EB121" s="36">
        <f t="shared" si="108"/>
        <v>0</v>
      </c>
      <c r="EC121" s="80">
        <v>0</v>
      </c>
      <c r="ED121" s="80">
        <v>0</v>
      </c>
      <c r="EE121" s="80">
        <v>0</v>
      </c>
      <c r="EF121" s="383"/>
      <c r="EG121" s="394"/>
      <c r="EH121" s="80">
        <v>0</v>
      </c>
      <c r="EI121" s="38" t="str">
        <f>IF(AR121="","",AR121*BL121)</f>
        <v/>
      </c>
      <c r="EJ121" s="37"/>
      <c r="EK121" s="37"/>
      <c r="EL121" s="37"/>
      <c r="EM121" s="37"/>
      <c r="EN121" s="37"/>
      <c r="EO121" s="37"/>
      <c r="EP121" s="37"/>
      <c r="EQ121" s="37"/>
      <c r="ER121" s="37"/>
      <c r="ES121" s="37"/>
      <c r="ET121" s="37"/>
      <c r="EU121" s="37"/>
      <c r="EV121" s="37"/>
      <c r="EW121" s="37"/>
      <c r="EX121" s="37"/>
      <c r="EY121" s="37"/>
      <c r="EZ121" s="37"/>
      <c r="FA121" s="37"/>
      <c r="FB121" s="37"/>
      <c r="FC121" s="37"/>
      <c r="FD121" s="37"/>
      <c r="FE121" s="37"/>
      <c r="FF121" s="37"/>
      <c r="FG121" s="37"/>
      <c r="FH121" s="37"/>
      <c r="FI121" s="37"/>
      <c r="FJ121" s="37"/>
      <c r="FK121" s="37"/>
      <c r="FL121" s="37"/>
      <c r="FM121" s="48" t="e">
        <f t="shared" si="73"/>
        <v>#DIV/0!</v>
      </c>
      <c r="FN121" s="48" t="e">
        <f t="shared" si="74"/>
        <v>#DIV/0!</v>
      </c>
      <c r="FO121" s="142" t="e">
        <f t="shared" si="75"/>
        <v>#DIV/0!</v>
      </c>
      <c r="FP121" s="142" t="e">
        <f t="shared" si="76"/>
        <v>#DIV/0!</v>
      </c>
      <c r="FQ121" s="180" t="e">
        <f t="shared" si="77"/>
        <v>#DIV/0!</v>
      </c>
    </row>
    <row r="122" spans="1:173" x14ac:dyDescent="0.15">
      <c r="A122" s="134">
        <v>124</v>
      </c>
      <c r="B122" t="s">
        <v>323</v>
      </c>
      <c r="AD122" s="136">
        <v>0</v>
      </c>
      <c r="BS122">
        <v>0.09</v>
      </c>
      <c r="BT122">
        <v>0.02</v>
      </c>
      <c r="BU122">
        <v>0.01</v>
      </c>
      <c r="BV122">
        <v>0.01</v>
      </c>
      <c r="BW122">
        <v>19.100000000000001</v>
      </c>
      <c r="BX122">
        <v>24.7</v>
      </c>
      <c r="CB122">
        <v>86.7</v>
      </c>
      <c r="CC122">
        <v>93.8</v>
      </c>
      <c r="CF122" s="4">
        <v>0</v>
      </c>
      <c r="CH122" s="107">
        <v>0</v>
      </c>
      <c r="CI122" s="107">
        <v>0</v>
      </c>
      <c r="CJ122" s="107">
        <v>0</v>
      </c>
      <c r="CK122" s="107">
        <v>0</v>
      </c>
      <c r="CL122" s="107">
        <v>0</v>
      </c>
      <c r="CM122" s="107">
        <v>0</v>
      </c>
      <c r="CN122" s="107">
        <v>0</v>
      </c>
      <c r="CO122" s="107">
        <v>0</v>
      </c>
      <c r="CP122" s="107">
        <v>0</v>
      </c>
      <c r="CQ122" s="107">
        <v>0</v>
      </c>
      <c r="CR122" s="107">
        <v>0</v>
      </c>
      <c r="CS122" s="107">
        <v>0</v>
      </c>
      <c r="CT122" s="107">
        <v>0</v>
      </c>
      <c r="CU122" s="107"/>
      <c r="CV122" s="107">
        <v>0</v>
      </c>
      <c r="CW122" s="107">
        <f t="shared" si="102"/>
        <v>0</v>
      </c>
      <c r="CX122" s="107">
        <f t="shared" si="103"/>
        <v>0</v>
      </c>
      <c r="CY122" s="107">
        <f t="shared" si="104"/>
        <v>0</v>
      </c>
      <c r="CZ122" s="107">
        <f t="shared" si="105"/>
        <v>0</v>
      </c>
      <c r="DA122" s="107">
        <f t="shared" si="106"/>
        <v>0</v>
      </c>
      <c r="DB122" s="107">
        <f t="shared" si="107"/>
        <v>0</v>
      </c>
      <c r="DC122" s="107">
        <f t="shared" si="78"/>
        <v>0</v>
      </c>
      <c r="DD122" s="107">
        <f t="shared" si="65"/>
        <v>0</v>
      </c>
      <c r="DE122" s="107">
        <f t="shared" si="64"/>
        <v>0</v>
      </c>
      <c r="DF122" s="107">
        <f t="shared" si="66"/>
        <v>0</v>
      </c>
      <c r="DG122" s="107">
        <f t="shared" si="67"/>
        <v>0</v>
      </c>
      <c r="DH122" s="107">
        <f t="shared" si="68"/>
        <v>0</v>
      </c>
      <c r="DI122" s="107"/>
      <c r="DJ122" s="107"/>
      <c r="DK122" s="107"/>
      <c r="DL122" s="107"/>
      <c r="DM122" s="107"/>
      <c r="DN122" s="107"/>
      <c r="DO122" s="107"/>
      <c r="DP122" s="107"/>
      <c r="DQ122">
        <f t="shared" si="69"/>
        <v>21.414899999999999</v>
      </c>
      <c r="DR122">
        <f t="shared" ref="DR122:DR129" si="110">CC122*BX122/100</f>
        <v>23.168599999999998</v>
      </c>
      <c r="DS122">
        <f t="shared" si="79"/>
        <v>0</v>
      </c>
      <c r="DT122">
        <f t="shared" si="80"/>
        <v>0</v>
      </c>
      <c r="DU122"/>
      <c r="DV122" s="32"/>
      <c r="DW122" s="54">
        <f t="shared" si="81"/>
        <v>0</v>
      </c>
      <c r="DX122" s="33">
        <v>0</v>
      </c>
      <c r="DY122" s="34"/>
      <c r="DZ122" s="34"/>
      <c r="EA122" s="35"/>
      <c r="EB122" s="36">
        <f t="shared" si="108"/>
        <v>0</v>
      </c>
      <c r="EC122" s="80"/>
      <c r="ED122" s="80"/>
      <c r="EE122" s="80"/>
      <c r="EF122" s="383"/>
      <c r="EG122" s="394"/>
      <c r="EH122" s="80"/>
      <c r="EI122" s="38"/>
      <c r="EJ122" s="37"/>
      <c r="EK122" s="37"/>
      <c r="EL122" s="37"/>
      <c r="EM122" s="37"/>
      <c r="EN122" s="37"/>
      <c r="EO122" s="37"/>
      <c r="EP122" s="37"/>
      <c r="EQ122" s="37"/>
      <c r="ER122" s="37"/>
      <c r="ES122" s="37"/>
      <c r="ET122" s="37"/>
      <c r="EU122" s="37"/>
      <c r="EV122" s="37"/>
      <c r="EW122" s="37"/>
      <c r="EX122" s="37"/>
      <c r="EY122" s="37"/>
      <c r="EZ122" s="37"/>
      <c r="FA122" s="37"/>
      <c r="FB122" s="37"/>
      <c r="FC122" s="37"/>
      <c r="FD122" s="37"/>
      <c r="FE122" s="37"/>
      <c r="FF122" s="37"/>
      <c r="FG122" s="37"/>
      <c r="FH122" s="37"/>
      <c r="FI122" s="37"/>
      <c r="FJ122" s="37"/>
      <c r="FK122" s="37"/>
      <c r="FL122" s="37"/>
      <c r="FM122" s="48" t="e">
        <f t="shared" si="73"/>
        <v>#DIV/0!</v>
      </c>
      <c r="FN122" s="48" t="e">
        <f t="shared" si="74"/>
        <v>#DIV/0!</v>
      </c>
      <c r="FO122" s="234" t="e">
        <f t="shared" si="75"/>
        <v>#DIV/0!</v>
      </c>
      <c r="FP122" s="234" t="e">
        <f t="shared" si="76"/>
        <v>#DIV/0!</v>
      </c>
      <c r="FQ122" s="235" t="e">
        <f t="shared" si="77"/>
        <v>#DIV/0!</v>
      </c>
    </row>
    <row r="123" spans="1:173" ht="12.75" customHeight="1" x14ac:dyDescent="0.15">
      <c r="A123" s="134">
        <v>125</v>
      </c>
      <c r="B123" t="s">
        <v>324</v>
      </c>
      <c r="AD123" s="136">
        <v>0</v>
      </c>
      <c r="BW123">
        <v>13.8</v>
      </c>
      <c r="BY123">
        <v>9.6999999999999993</v>
      </c>
      <c r="CF123" s="4">
        <v>0</v>
      </c>
      <c r="CH123" s="107">
        <v>0</v>
      </c>
      <c r="CI123" s="107">
        <v>0</v>
      </c>
      <c r="CJ123" s="107">
        <v>0</v>
      </c>
      <c r="CK123" s="107">
        <v>0</v>
      </c>
      <c r="CL123" s="107">
        <v>0</v>
      </c>
      <c r="CM123" s="107">
        <v>0</v>
      </c>
      <c r="CN123" s="107">
        <v>0</v>
      </c>
      <c r="CO123" s="107">
        <v>0</v>
      </c>
      <c r="CP123" s="107">
        <v>0</v>
      </c>
      <c r="CQ123" s="107">
        <v>0</v>
      </c>
      <c r="CR123" s="107">
        <v>0</v>
      </c>
      <c r="CS123" s="107">
        <v>0</v>
      </c>
      <c r="CT123" s="107">
        <v>0</v>
      </c>
      <c r="CU123" s="107"/>
      <c r="CV123" s="107">
        <v>0</v>
      </c>
      <c r="CW123" s="107">
        <f t="shared" si="102"/>
        <v>0</v>
      </c>
      <c r="CX123" s="107">
        <f t="shared" si="103"/>
        <v>0</v>
      </c>
      <c r="CY123" s="107">
        <f t="shared" si="104"/>
        <v>0</v>
      </c>
      <c r="CZ123" s="107">
        <f t="shared" si="105"/>
        <v>0</v>
      </c>
      <c r="DA123" s="107">
        <f t="shared" si="106"/>
        <v>0</v>
      </c>
      <c r="DB123" s="107">
        <f t="shared" si="107"/>
        <v>0</v>
      </c>
      <c r="DC123" s="107">
        <f t="shared" si="78"/>
        <v>0</v>
      </c>
      <c r="DD123" s="107">
        <f t="shared" si="65"/>
        <v>0</v>
      </c>
      <c r="DE123" s="107">
        <f t="shared" si="64"/>
        <v>0</v>
      </c>
      <c r="DF123" s="107">
        <f t="shared" si="66"/>
        <v>0</v>
      </c>
      <c r="DG123" s="107">
        <f t="shared" si="67"/>
        <v>0</v>
      </c>
      <c r="DH123" s="107">
        <f t="shared" si="68"/>
        <v>0</v>
      </c>
      <c r="DI123" s="107"/>
      <c r="DJ123" s="107"/>
      <c r="DK123" s="107"/>
      <c r="DL123" s="107"/>
      <c r="DM123" s="107"/>
      <c r="DN123" s="107"/>
      <c r="DO123" s="107"/>
      <c r="DP123" s="107"/>
      <c r="DQ123">
        <f t="shared" si="69"/>
        <v>0</v>
      </c>
      <c r="DR123">
        <f t="shared" si="110"/>
        <v>0</v>
      </c>
      <c r="DS123">
        <f t="shared" si="79"/>
        <v>0</v>
      </c>
      <c r="DT123">
        <f t="shared" si="80"/>
        <v>0</v>
      </c>
      <c r="DU123"/>
      <c r="DV123" s="32"/>
      <c r="DW123" s="54">
        <f t="shared" si="81"/>
        <v>64000</v>
      </c>
      <c r="DX123" s="33">
        <v>32</v>
      </c>
      <c r="DY123" s="34"/>
      <c r="DZ123" s="34"/>
      <c r="EA123" s="35"/>
      <c r="EB123" s="36">
        <f t="shared" si="108"/>
        <v>0</v>
      </c>
      <c r="EC123" s="80">
        <v>0</v>
      </c>
      <c r="ED123" s="80">
        <v>0</v>
      </c>
      <c r="EE123" s="80">
        <v>0</v>
      </c>
      <c r="EF123" s="383"/>
      <c r="EG123" s="394"/>
      <c r="EH123" s="80">
        <v>0</v>
      </c>
      <c r="EI123" s="38" t="str">
        <f t="shared" ref="EI123:EI135" si="111">IF(AR123="","",AR123*BL123)</f>
        <v/>
      </c>
      <c r="EJ123" s="37"/>
      <c r="EK123" s="37"/>
      <c r="EL123" s="37"/>
      <c r="EM123" s="37"/>
      <c r="EN123" s="37"/>
      <c r="EO123" s="37"/>
      <c r="EP123" s="37"/>
      <c r="EQ123" s="37"/>
      <c r="ER123" s="37"/>
      <c r="ES123" s="37"/>
      <c r="ET123" s="37"/>
      <c r="EU123" s="37"/>
      <c r="EV123" s="37"/>
      <c r="EW123" s="37"/>
      <c r="EX123" s="37"/>
      <c r="EY123" s="37"/>
      <c r="EZ123" s="37"/>
      <c r="FA123" s="37"/>
      <c r="FB123" s="37"/>
      <c r="FC123" s="37"/>
      <c r="FD123" s="37"/>
      <c r="FE123" s="37"/>
      <c r="FF123" s="37"/>
      <c r="FG123" s="37"/>
      <c r="FH123" s="37"/>
      <c r="FI123" s="37"/>
      <c r="FJ123" s="37"/>
      <c r="FK123" s="37"/>
      <c r="FL123" s="37"/>
      <c r="FM123" s="48" t="e">
        <f t="shared" si="73"/>
        <v>#DIV/0!</v>
      </c>
      <c r="FN123" s="48" t="e">
        <f t="shared" si="74"/>
        <v>#DIV/0!</v>
      </c>
      <c r="FO123" s="259" t="e">
        <f t="shared" si="75"/>
        <v>#DIV/0!</v>
      </c>
      <c r="FP123" s="259" t="e">
        <f t="shared" si="76"/>
        <v>#DIV/0!</v>
      </c>
      <c r="FQ123" s="260" t="e">
        <f t="shared" si="77"/>
        <v>#DIV/0!</v>
      </c>
    </row>
    <row r="124" spans="1:173" ht="12.75" customHeight="1" x14ac:dyDescent="0.15">
      <c r="A124" s="134">
        <v>126</v>
      </c>
      <c r="B124" s="164" t="s">
        <v>368</v>
      </c>
      <c r="C124">
        <v>4780</v>
      </c>
      <c r="D124">
        <v>4780</v>
      </c>
      <c r="E124">
        <v>4350</v>
      </c>
      <c r="F124">
        <v>3370</v>
      </c>
      <c r="I124">
        <v>93.9</v>
      </c>
      <c r="AD124" s="136">
        <v>49.767000000000003</v>
      </c>
      <c r="AJ124">
        <v>78.8</v>
      </c>
      <c r="BD124">
        <v>100</v>
      </c>
      <c r="BT124">
        <v>19.100000000000001</v>
      </c>
      <c r="CF124" s="4">
        <v>0</v>
      </c>
      <c r="CH124" s="107">
        <v>0</v>
      </c>
      <c r="CI124" s="107">
        <v>0</v>
      </c>
      <c r="CJ124" s="107">
        <v>0</v>
      </c>
      <c r="CK124" s="107">
        <v>0</v>
      </c>
      <c r="CL124" s="107">
        <v>0</v>
      </c>
      <c r="CM124" s="107">
        <v>78.8</v>
      </c>
      <c r="CN124" s="107">
        <v>0</v>
      </c>
      <c r="CO124" s="107">
        <v>0</v>
      </c>
      <c r="CP124" s="107">
        <v>0</v>
      </c>
      <c r="CQ124" s="107">
        <v>0</v>
      </c>
      <c r="CR124" s="107">
        <v>0</v>
      </c>
      <c r="CS124" s="107">
        <v>0</v>
      </c>
      <c r="CT124" s="107">
        <v>0</v>
      </c>
      <c r="CU124" s="107"/>
      <c r="CV124" s="107">
        <v>0</v>
      </c>
      <c r="CW124" s="107">
        <f t="shared" si="102"/>
        <v>0</v>
      </c>
      <c r="CX124" s="107">
        <f t="shared" si="103"/>
        <v>0</v>
      </c>
      <c r="CY124" s="107">
        <f t="shared" si="104"/>
        <v>0</v>
      </c>
      <c r="CZ124" s="107">
        <f t="shared" si="105"/>
        <v>0</v>
      </c>
      <c r="DA124" s="107">
        <f t="shared" si="106"/>
        <v>78.8</v>
      </c>
      <c r="DB124" s="107">
        <f t="shared" si="107"/>
        <v>0</v>
      </c>
      <c r="DC124" s="107">
        <f t="shared" si="78"/>
        <v>0</v>
      </c>
      <c r="DD124" s="107">
        <f t="shared" si="65"/>
        <v>0</v>
      </c>
      <c r="DE124" s="107">
        <f t="shared" si="64"/>
        <v>0</v>
      </c>
      <c r="DF124" s="107">
        <f t="shared" si="66"/>
        <v>0</v>
      </c>
      <c r="DG124" s="107">
        <f t="shared" si="67"/>
        <v>0</v>
      </c>
      <c r="DH124" s="107">
        <f t="shared" si="68"/>
        <v>0</v>
      </c>
      <c r="DI124" s="107"/>
      <c r="DJ124" s="107"/>
      <c r="DK124" s="107"/>
      <c r="DL124" s="107"/>
      <c r="DM124" s="107"/>
      <c r="DN124" s="107"/>
      <c r="DO124" s="107"/>
      <c r="DP124" s="107"/>
      <c r="DQ124">
        <f t="shared" si="69"/>
        <v>0</v>
      </c>
      <c r="DR124">
        <f t="shared" si="110"/>
        <v>0</v>
      </c>
      <c r="DS124">
        <f t="shared" si="79"/>
        <v>0</v>
      </c>
      <c r="DT124">
        <f t="shared" si="80"/>
        <v>0</v>
      </c>
      <c r="DU124"/>
      <c r="DV124" s="32"/>
      <c r="DW124" s="54">
        <f>DX124*2000</f>
        <v>2199.9756310399998</v>
      </c>
      <c r="DX124" s="33">
        <f>IF('Lys Calculator-kg'!E7="$/lb",'Lys Calculator-kg'!D7,IF('Lys Calculator-kg'!E7="$/kg",'Lys Calculator-kg'!D7*0.453592))</f>
        <v>1.09998781552</v>
      </c>
      <c r="DY124" s="34">
        <v>3380</v>
      </c>
      <c r="DZ124" s="34">
        <v>3380</v>
      </c>
      <c r="EA124" s="35"/>
      <c r="EB124" s="36">
        <f t="shared" si="108"/>
        <v>0</v>
      </c>
      <c r="EC124" s="80">
        <v>0</v>
      </c>
      <c r="ED124" s="80">
        <v>0</v>
      </c>
      <c r="EE124" s="80">
        <v>0</v>
      </c>
      <c r="EF124" s="383"/>
      <c r="EG124" s="394"/>
      <c r="EH124" s="80">
        <v>0</v>
      </c>
      <c r="EI124" s="38" t="str">
        <f t="shared" si="111"/>
        <v/>
      </c>
      <c r="EJ124" s="37"/>
      <c r="EK124" s="37"/>
      <c r="EL124" s="37"/>
      <c r="EM124" s="37"/>
      <c r="EN124" s="37"/>
      <c r="EO124" s="37"/>
      <c r="EP124" s="37"/>
      <c r="EQ124" s="37"/>
      <c r="ER124" s="37"/>
      <c r="ES124" s="37"/>
      <c r="ET124" s="37"/>
      <c r="EU124" s="37"/>
      <c r="EV124" s="37"/>
      <c r="EW124" s="37"/>
      <c r="EX124" s="37"/>
      <c r="EY124" s="37"/>
      <c r="EZ124" s="37"/>
      <c r="FA124" s="37"/>
      <c r="FB124" s="37"/>
      <c r="FC124" s="37"/>
      <c r="FD124" s="37"/>
      <c r="FE124" s="37"/>
      <c r="FF124" s="37"/>
      <c r="FG124" s="37"/>
      <c r="FH124" s="37"/>
      <c r="FI124" s="37"/>
      <c r="FJ124" s="37"/>
      <c r="FK124" s="37"/>
      <c r="FL124" s="37"/>
      <c r="FM124" s="48" t="e">
        <f t="shared" si="73"/>
        <v>#DIV/0!</v>
      </c>
      <c r="FN124" s="48" t="e">
        <f t="shared" si="74"/>
        <v>#DIV/0!</v>
      </c>
      <c r="FO124" s="234" t="e">
        <f t="shared" si="75"/>
        <v>#DIV/0!</v>
      </c>
      <c r="FP124" s="234" t="e">
        <f t="shared" si="76"/>
        <v>#DIV/0!</v>
      </c>
      <c r="FQ124" s="235">
        <f t="shared" si="77"/>
        <v>0</v>
      </c>
    </row>
    <row r="125" spans="1:173" ht="12.75" customHeight="1" x14ac:dyDescent="0.15">
      <c r="A125" s="134">
        <v>127</v>
      </c>
      <c r="B125" t="s">
        <v>325</v>
      </c>
      <c r="C125">
        <v>5641</v>
      </c>
      <c r="D125">
        <v>5641</v>
      </c>
      <c r="E125">
        <v>5354</v>
      </c>
      <c r="F125">
        <v>4135</v>
      </c>
      <c r="I125">
        <v>58.69</v>
      </c>
      <c r="AD125" s="136">
        <v>31.105699999999999</v>
      </c>
      <c r="AK125">
        <v>99</v>
      </c>
      <c r="BE125">
        <v>100</v>
      </c>
      <c r="CF125" s="4">
        <v>0</v>
      </c>
      <c r="CH125" s="107">
        <v>0</v>
      </c>
      <c r="CI125" s="107">
        <v>0</v>
      </c>
      <c r="CJ125" s="107">
        <v>0</v>
      </c>
      <c r="CK125" s="107">
        <v>0</v>
      </c>
      <c r="CL125" s="107">
        <v>0</v>
      </c>
      <c r="CM125" s="107">
        <v>0</v>
      </c>
      <c r="CN125" s="107">
        <v>99</v>
      </c>
      <c r="CO125" s="107">
        <v>99</v>
      </c>
      <c r="CP125" s="107">
        <v>0</v>
      </c>
      <c r="CQ125" s="107">
        <v>0</v>
      </c>
      <c r="CR125" s="107">
        <v>0</v>
      </c>
      <c r="CS125" s="107">
        <v>0</v>
      </c>
      <c r="CT125" s="107">
        <v>0</v>
      </c>
      <c r="CU125" s="107"/>
      <c r="CV125" s="107">
        <v>0</v>
      </c>
      <c r="CW125" s="107">
        <f t="shared" si="102"/>
        <v>0</v>
      </c>
      <c r="CX125" s="107">
        <f t="shared" si="103"/>
        <v>0</v>
      </c>
      <c r="CY125" s="107">
        <f t="shared" si="104"/>
        <v>0</v>
      </c>
      <c r="CZ125" s="107">
        <f t="shared" si="105"/>
        <v>0</v>
      </c>
      <c r="DA125" s="107">
        <f t="shared" si="106"/>
        <v>0</v>
      </c>
      <c r="DB125" s="107">
        <f t="shared" si="107"/>
        <v>99</v>
      </c>
      <c r="DC125" s="107">
        <f t="shared" si="78"/>
        <v>99</v>
      </c>
      <c r="DD125" s="107">
        <f t="shared" si="65"/>
        <v>0</v>
      </c>
      <c r="DE125" s="107">
        <f t="shared" si="64"/>
        <v>0</v>
      </c>
      <c r="DF125" s="107">
        <f t="shared" si="66"/>
        <v>0</v>
      </c>
      <c r="DG125" s="107">
        <f t="shared" si="67"/>
        <v>0</v>
      </c>
      <c r="DH125" s="107">
        <f t="shared" si="68"/>
        <v>0</v>
      </c>
      <c r="DI125" s="107"/>
      <c r="DJ125" s="107"/>
      <c r="DK125" s="107"/>
      <c r="DL125" s="107"/>
      <c r="DM125" s="107"/>
      <c r="DN125" s="107"/>
      <c r="DO125" s="107"/>
      <c r="DP125" s="107"/>
      <c r="DQ125">
        <f t="shared" si="69"/>
        <v>0</v>
      </c>
      <c r="DR125">
        <f t="shared" si="110"/>
        <v>0</v>
      </c>
      <c r="DS125">
        <f t="shared" si="79"/>
        <v>0</v>
      </c>
      <c r="DT125">
        <f t="shared" si="80"/>
        <v>0</v>
      </c>
      <c r="DU125"/>
      <c r="DV125" s="32"/>
      <c r="DW125" s="54">
        <f t="shared" ref="DW125:DW129" si="112">DX125*2000</f>
        <v>4998.5838399999993</v>
      </c>
      <c r="DX125" s="33">
        <f>IF('Lys Calculator-kg'!E8="$/lb",'Lys Calculator-kg'!D8,IF('Lys Calculator-kg'!E8="$/kg",'Lys Calculator-kg'!D8*0.453592,""))</f>
        <v>2.4992919199999997</v>
      </c>
      <c r="DY125" s="34">
        <v>4130</v>
      </c>
      <c r="DZ125" s="34">
        <v>4130</v>
      </c>
      <c r="EA125" s="35"/>
      <c r="EB125" s="36">
        <f t="shared" si="108"/>
        <v>0</v>
      </c>
      <c r="EC125" s="80">
        <v>0</v>
      </c>
      <c r="ED125" s="80">
        <v>0</v>
      </c>
      <c r="EE125" s="80">
        <v>0</v>
      </c>
      <c r="EF125" s="383"/>
      <c r="EG125" s="394"/>
      <c r="EH125" s="80">
        <v>0</v>
      </c>
      <c r="EI125" s="38" t="str">
        <f t="shared" si="111"/>
        <v/>
      </c>
      <c r="EJ125" s="37"/>
      <c r="EK125" s="37"/>
      <c r="EL125" s="37"/>
      <c r="EM125" s="37"/>
      <c r="EN125" s="37"/>
      <c r="EO125" s="37"/>
      <c r="EP125" s="37"/>
      <c r="EQ125" s="37"/>
      <c r="ER125" s="37"/>
      <c r="ES125" s="37"/>
      <c r="ET125" s="37"/>
      <c r="EU125" s="37"/>
      <c r="EV125" s="37"/>
      <c r="EW125" s="37"/>
      <c r="EX125" s="37"/>
      <c r="EY125" s="37"/>
      <c r="EZ125" s="37"/>
      <c r="FA125" s="37"/>
      <c r="FB125" s="37"/>
      <c r="FC125" s="37"/>
      <c r="FD125" s="37"/>
      <c r="FE125" s="37"/>
      <c r="FF125" s="37"/>
      <c r="FG125" s="37"/>
      <c r="FH125" s="37"/>
      <c r="FI125" s="37"/>
      <c r="FJ125" s="37"/>
      <c r="FK125" s="37"/>
      <c r="FL125" s="37"/>
      <c r="FM125" s="48" t="e">
        <f t="shared" si="73"/>
        <v>#DIV/0!</v>
      </c>
      <c r="FN125" s="48" t="e">
        <f t="shared" si="74"/>
        <v>#DIV/0!</v>
      </c>
      <c r="FO125" s="234" t="e">
        <f t="shared" si="75"/>
        <v>#DIV/0!</v>
      </c>
      <c r="FP125" s="234" t="e">
        <f t="shared" si="76"/>
        <v>#DIV/0!</v>
      </c>
      <c r="FQ125" s="235">
        <f t="shared" si="77"/>
        <v>0</v>
      </c>
    </row>
    <row r="126" spans="1:173" ht="12.75" customHeight="1" x14ac:dyDescent="0.15">
      <c r="A126" s="134">
        <v>128</v>
      </c>
      <c r="B126" t="s">
        <v>326</v>
      </c>
      <c r="C126">
        <v>4110</v>
      </c>
      <c r="D126">
        <v>4110</v>
      </c>
      <c r="E126">
        <v>3776</v>
      </c>
      <c r="F126">
        <v>2940</v>
      </c>
      <c r="I126">
        <v>73.5</v>
      </c>
      <c r="AD126" s="136">
        <v>38.955000000000005</v>
      </c>
      <c r="AM126">
        <v>98.5</v>
      </c>
      <c r="BG126">
        <v>100</v>
      </c>
      <c r="CF126" s="4">
        <v>0</v>
      </c>
      <c r="CH126" s="107">
        <v>1</v>
      </c>
      <c r="CI126" s="107">
        <v>0</v>
      </c>
      <c r="CJ126" s="107">
        <v>0</v>
      </c>
      <c r="CK126" s="107">
        <v>0</v>
      </c>
      <c r="CL126" s="107">
        <v>0</v>
      </c>
      <c r="CM126" s="107">
        <v>0</v>
      </c>
      <c r="CN126" s="107">
        <v>0</v>
      </c>
      <c r="CO126" s="107">
        <v>0</v>
      </c>
      <c r="CP126" s="107">
        <v>0</v>
      </c>
      <c r="CQ126" s="107">
        <v>0</v>
      </c>
      <c r="CR126" s="107">
        <v>99</v>
      </c>
      <c r="CS126" s="107">
        <v>0</v>
      </c>
      <c r="CT126" s="107">
        <v>0</v>
      </c>
      <c r="CU126" s="107"/>
      <c r="CV126" s="107">
        <v>0</v>
      </c>
      <c r="CW126" s="107">
        <f t="shared" si="102"/>
        <v>0</v>
      </c>
      <c r="CX126" s="107">
        <f t="shared" si="103"/>
        <v>0</v>
      </c>
      <c r="CY126" s="107">
        <f t="shared" si="104"/>
        <v>0</v>
      </c>
      <c r="CZ126" s="107">
        <f t="shared" si="105"/>
        <v>0</v>
      </c>
      <c r="DA126" s="107">
        <f t="shared" si="106"/>
        <v>0</v>
      </c>
      <c r="DB126" s="107">
        <f t="shared" si="107"/>
        <v>0</v>
      </c>
      <c r="DC126" s="107">
        <f t="shared" si="78"/>
        <v>0</v>
      </c>
      <c r="DD126" s="107">
        <f t="shared" si="65"/>
        <v>0</v>
      </c>
      <c r="DE126" s="107">
        <f t="shared" si="64"/>
        <v>0</v>
      </c>
      <c r="DF126" s="107">
        <f t="shared" si="66"/>
        <v>98.5</v>
      </c>
      <c r="DG126" s="107">
        <f t="shared" si="67"/>
        <v>0</v>
      </c>
      <c r="DH126" s="107">
        <f t="shared" si="68"/>
        <v>0</v>
      </c>
      <c r="DI126" s="107"/>
      <c r="DJ126" s="107"/>
      <c r="DK126" s="107"/>
      <c r="DL126" s="107"/>
      <c r="DM126" s="107"/>
      <c r="DN126" s="107"/>
      <c r="DO126" s="107"/>
      <c r="DP126" s="107"/>
      <c r="DQ126">
        <f t="shared" si="69"/>
        <v>0</v>
      </c>
      <c r="DR126">
        <f t="shared" si="110"/>
        <v>0</v>
      </c>
      <c r="DS126">
        <f t="shared" si="79"/>
        <v>0</v>
      </c>
      <c r="DT126">
        <f t="shared" si="80"/>
        <v>0</v>
      </c>
      <c r="DU126"/>
      <c r="DV126" s="32"/>
      <c r="DW126" s="54">
        <f t="shared" si="112"/>
        <v>2404.0376000000001</v>
      </c>
      <c r="DX126" s="33">
        <f>IF('Lys Calculator-kg'!E9="$/lb",'Lys Calculator-kg'!D9,IF('Lys Calculator-kg'!E9="$/kg",'Lys Calculator-kg'!D9*0.453592,""))</f>
        <v>1.2020188000000001</v>
      </c>
      <c r="DY126" s="34">
        <v>2930</v>
      </c>
      <c r="DZ126" s="34">
        <v>2930</v>
      </c>
      <c r="EA126" s="35"/>
      <c r="EB126" s="36">
        <f t="shared" si="108"/>
        <v>0</v>
      </c>
      <c r="EC126" s="80">
        <v>0</v>
      </c>
      <c r="ED126" s="80">
        <v>0</v>
      </c>
      <c r="EE126" s="80">
        <v>0</v>
      </c>
      <c r="EF126" s="383"/>
      <c r="EG126" s="394"/>
      <c r="EH126" s="80">
        <v>0</v>
      </c>
      <c r="EI126" s="38" t="str">
        <f t="shared" si="111"/>
        <v/>
      </c>
      <c r="EJ126" s="37"/>
      <c r="EK126" s="37"/>
      <c r="EL126" s="37"/>
      <c r="EM126" s="37"/>
      <c r="EN126" s="37"/>
      <c r="EO126" s="37"/>
      <c r="EP126" s="37"/>
      <c r="EQ126" s="37"/>
      <c r="ER126" s="37"/>
      <c r="ES126" s="37"/>
      <c r="ET126" s="37"/>
      <c r="EU126" s="37"/>
      <c r="EV126" s="37"/>
      <c r="EW126" s="37"/>
      <c r="EX126" s="37"/>
      <c r="EY126" s="37"/>
      <c r="EZ126" s="37"/>
      <c r="FA126" s="37"/>
      <c r="FB126" s="37"/>
      <c r="FC126" s="37"/>
      <c r="FD126" s="37"/>
      <c r="FE126" s="37"/>
      <c r="FF126" s="37"/>
      <c r="FG126" s="37"/>
      <c r="FH126" s="37"/>
      <c r="FI126" s="37"/>
      <c r="FJ126" s="37"/>
      <c r="FK126" s="37"/>
      <c r="FL126" s="37"/>
      <c r="FM126" s="48" t="e">
        <f t="shared" si="73"/>
        <v>#DIV/0!</v>
      </c>
      <c r="FN126" s="48" t="e">
        <f t="shared" si="74"/>
        <v>#DIV/0!</v>
      </c>
      <c r="FO126" s="234" t="e">
        <f t="shared" si="75"/>
        <v>#DIV/0!</v>
      </c>
      <c r="FP126" s="234" t="e">
        <f t="shared" si="76"/>
        <v>#DIV/0!</v>
      </c>
      <c r="FQ126" s="235">
        <f t="shared" si="77"/>
        <v>0</v>
      </c>
    </row>
    <row r="127" spans="1:173" ht="12.75" customHeight="1" x14ac:dyDescent="0.15">
      <c r="A127" s="134">
        <v>129</v>
      </c>
      <c r="B127" t="s">
        <v>327</v>
      </c>
      <c r="C127">
        <v>6573</v>
      </c>
      <c r="D127">
        <v>6573</v>
      </c>
      <c r="E127">
        <v>6166</v>
      </c>
      <c r="F127">
        <v>4780</v>
      </c>
      <c r="I127">
        <v>85.75</v>
      </c>
      <c r="AD127" s="136">
        <v>45.447500000000005</v>
      </c>
      <c r="AN127">
        <v>98</v>
      </c>
      <c r="BH127">
        <v>100</v>
      </c>
      <c r="CF127" s="4">
        <v>0</v>
      </c>
      <c r="CH127" s="107">
        <v>2</v>
      </c>
      <c r="CI127" s="107">
        <v>0</v>
      </c>
      <c r="CJ127" s="107">
        <v>0</v>
      </c>
      <c r="CK127" s="107">
        <v>0</v>
      </c>
      <c r="CL127" s="107">
        <v>0</v>
      </c>
      <c r="CM127" s="107">
        <v>0</v>
      </c>
      <c r="CN127" s="107">
        <v>0</v>
      </c>
      <c r="CO127" s="107">
        <v>0</v>
      </c>
      <c r="CP127" s="107">
        <v>0</v>
      </c>
      <c r="CQ127" s="107">
        <v>0</v>
      </c>
      <c r="CR127" s="107">
        <v>0</v>
      </c>
      <c r="CS127" s="107">
        <v>99</v>
      </c>
      <c r="CT127" s="107">
        <v>0</v>
      </c>
      <c r="CU127" s="107"/>
      <c r="CV127" s="107">
        <v>0</v>
      </c>
      <c r="CW127" s="107">
        <f t="shared" si="102"/>
        <v>0</v>
      </c>
      <c r="CX127" s="107">
        <f t="shared" si="103"/>
        <v>0</v>
      </c>
      <c r="CY127" s="107">
        <f t="shared" si="104"/>
        <v>0</v>
      </c>
      <c r="CZ127" s="107">
        <f t="shared" si="105"/>
        <v>0</v>
      </c>
      <c r="DA127" s="107">
        <f t="shared" si="106"/>
        <v>0</v>
      </c>
      <c r="DB127" s="107">
        <f t="shared" si="107"/>
        <v>0</v>
      </c>
      <c r="DC127" s="107">
        <f t="shared" si="78"/>
        <v>0</v>
      </c>
      <c r="DD127" s="107">
        <f t="shared" si="65"/>
        <v>0</v>
      </c>
      <c r="DE127" s="107">
        <f t="shared" si="64"/>
        <v>0</v>
      </c>
      <c r="DF127" s="107">
        <f t="shared" si="66"/>
        <v>0</v>
      </c>
      <c r="DG127" s="107">
        <f t="shared" si="67"/>
        <v>98</v>
      </c>
      <c r="DH127" s="107">
        <f t="shared" si="68"/>
        <v>0</v>
      </c>
      <c r="DI127" s="107"/>
      <c r="DJ127" s="107"/>
      <c r="DK127" s="107"/>
      <c r="DL127" s="107"/>
      <c r="DM127" s="107"/>
      <c r="DN127" s="107"/>
      <c r="DO127" s="107"/>
      <c r="DP127" s="107"/>
      <c r="DQ127">
        <f t="shared" si="69"/>
        <v>0</v>
      </c>
      <c r="DR127">
        <f t="shared" si="110"/>
        <v>0</v>
      </c>
      <c r="DS127">
        <f t="shared" si="79"/>
        <v>0</v>
      </c>
      <c r="DT127">
        <f t="shared" si="80"/>
        <v>0</v>
      </c>
      <c r="DU127"/>
      <c r="DV127" s="32"/>
      <c r="DW127" s="54">
        <f t="shared" si="112"/>
        <v>9975.1276799999996</v>
      </c>
      <c r="DX127" s="33">
        <f>IF('Lys Calculator-kg'!E10="$/lb",'Lys Calculator-kg'!D10,IF('Lys Calculator-kg'!E10="$/kg",'Lys Calculator-kg'!D10*0.452592,""))</f>
        <v>4.98756384</v>
      </c>
      <c r="DY127" s="34">
        <v>4770</v>
      </c>
      <c r="DZ127" s="34">
        <v>4770</v>
      </c>
      <c r="EA127" s="35"/>
      <c r="EB127" s="36">
        <f t="shared" si="108"/>
        <v>0</v>
      </c>
      <c r="EC127" s="80">
        <v>0</v>
      </c>
      <c r="ED127" s="80">
        <v>0</v>
      </c>
      <c r="EE127" s="80">
        <v>0</v>
      </c>
      <c r="EF127" s="383"/>
      <c r="EG127" s="394"/>
      <c r="EH127" s="80">
        <v>0</v>
      </c>
      <c r="EI127" s="38" t="str">
        <f t="shared" si="111"/>
        <v/>
      </c>
      <c r="EJ127" s="37"/>
      <c r="EK127" s="37"/>
      <c r="EL127" s="37"/>
      <c r="EM127" s="37"/>
      <c r="EN127" s="37"/>
      <c r="EO127" s="37"/>
      <c r="EP127" s="37"/>
      <c r="EQ127" s="37"/>
      <c r="ER127" s="37"/>
      <c r="ES127" s="37"/>
      <c r="ET127" s="37"/>
      <c r="EU127" s="37"/>
      <c r="EV127" s="37"/>
      <c r="EW127" s="37"/>
      <c r="EX127" s="37"/>
      <c r="EY127" s="37"/>
      <c r="EZ127" s="37"/>
      <c r="FA127" s="37"/>
      <c r="FB127" s="37"/>
      <c r="FC127" s="37"/>
      <c r="FD127" s="37"/>
      <c r="FE127" s="37"/>
      <c r="FF127" s="37"/>
      <c r="FG127" s="37"/>
      <c r="FH127" s="37"/>
      <c r="FI127" s="37"/>
      <c r="FJ127" s="37"/>
      <c r="FK127" s="37"/>
      <c r="FL127" s="37"/>
      <c r="FM127" s="48" t="e">
        <f t="shared" si="73"/>
        <v>#DIV/0!</v>
      </c>
      <c r="FN127" s="48" t="e">
        <f t="shared" si="74"/>
        <v>#DIV/0!</v>
      </c>
      <c r="FO127" s="234" t="e">
        <f t="shared" si="75"/>
        <v>#DIV/0!</v>
      </c>
      <c r="FP127" s="234" t="e">
        <f t="shared" si="76"/>
        <v>#DIV/0!</v>
      </c>
      <c r="FQ127" s="235">
        <f t="shared" si="77"/>
        <v>0</v>
      </c>
    </row>
    <row r="128" spans="1:173" x14ac:dyDescent="0.15">
      <c r="A128" s="134">
        <v>130</v>
      </c>
      <c r="B128" t="s">
        <v>328</v>
      </c>
      <c r="C128">
        <v>5963</v>
      </c>
      <c r="D128">
        <v>5963</v>
      </c>
      <c r="E128">
        <v>5580</v>
      </c>
      <c r="F128">
        <v>4326</v>
      </c>
      <c r="I128">
        <v>72.099999999999994</v>
      </c>
      <c r="AD128" s="136">
        <v>38.213000000000001</v>
      </c>
      <c r="AO128" s="181">
        <v>96.5</v>
      </c>
      <c r="BI128">
        <v>100</v>
      </c>
      <c r="CF128" s="4">
        <v>0</v>
      </c>
      <c r="CH128" s="107">
        <v>3</v>
      </c>
      <c r="CI128" s="107">
        <v>0</v>
      </c>
      <c r="CJ128" s="107">
        <v>0</v>
      </c>
      <c r="CK128" s="107">
        <v>0</v>
      </c>
      <c r="CL128" s="107">
        <v>0</v>
      </c>
      <c r="CM128" s="107">
        <v>0</v>
      </c>
      <c r="CN128" s="107">
        <v>0</v>
      </c>
      <c r="CO128" s="107">
        <v>0</v>
      </c>
      <c r="CP128" s="107">
        <v>0</v>
      </c>
      <c r="CQ128" s="107">
        <v>0</v>
      </c>
      <c r="CR128" s="107">
        <v>0</v>
      </c>
      <c r="CS128" s="107">
        <v>0</v>
      </c>
      <c r="CT128" s="107">
        <v>99</v>
      </c>
      <c r="CU128" s="107"/>
      <c r="CV128" s="107">
        <v>0</v>
      </c>
      <c r="CW128" s="107">
        <f t="shared" si="102"/>
        <v>0</v>
      </c>
      <c r="CX128" s="107">
        <f t="shared" si="103"/>
        <v>0</v>
      </c>
      <c r="CY128" s="107">
        <f t="shared" si="104"/>
        <v>0</v>
      </c>
      <c r="CZ128" s="107">
        <f t="shared" si="105"/>
        <v>0</v>
      </c>
      <c r="DA128" s="107">
        <f t="shared" si="106"/>
        <v>0</v>
      </c>
      <c r="DB128" s="107">
        <f t="shared" si="107"/>
        <v>0</v>
      </c>
      <c r="DC128" s="107">
        <f t="shared" si="78"/>
        <v>0</v>
      </c>
      <c r="DD128" s="107">
        <f t="shared" si="65"/>
        <v>0</v>
      </c>
      <c r="DE128" s="107">
        <f t="shared" si="64"/>
        <v>0</v>
      </c>
      <c r="DF128" s="107">
        <f t="shared" si="66"/>
        <v>0</v>
      </c>
      <c r="DG128" s="107">
        <f t="shared" si="67"/>
        <v>0</v>
      </c>
      <c r="DH128" s="107">
        <f t="shared" si="68"/>
        <v>96.5</v>
      </c>
      <c r="DI128" s="107"/>
      <c r="DJ128" s="107"/>
      <c r="DK128" s="107"/>
      <c r="DL128" s="107"/>
      <c r="DM128" s="107"/>
      <c r="DN128" s="107"/>
      <c r="DO128" s="107"/>
      <c r="DP128" s="107"/>
      <c r="DQ128">
        <f t="shared" si="69"/>
        <v>0</v>
      </c>
      <c r="DR128">
        <f t="shared" si="110"/>
        <v>0</v>
      </c>
      <c r="DS128">
        <f t="shared" si="79"/>
        <v>0</v>
      </c>
      <c r="DT128">
        <f t="shared" si="80"/>
        <v>0</v>
      </c>
      <c r="DU128"/>
      <c r="DV128" s="31"/>
      <c r="DW128" s="54">
        <f t="shared" si="112"/>
        <v>8001.3628800000006</v>
      </c>
      <c r="DX128" s="33">
        <f>IF('Lys Calculator-kg'!E11="$/lb",'Lys Calculator-kg'!D11,IF('Lys Calculator-kg'!E11="$/kg",'Lys Calculator-kg'!D11*0.453592,""))</f>
        <v>4.0006814400000001</v>
      </c>
      <c r="DY128" s="94">
        <f>E128*0.77</f>
        <v>4296.6000000000004</v>
      </c>
      <c r="DZ128" s="94">
        <f>E128*0.77</f>
        <v>4296.6000000000004</v>
      </c>
      <c r="EA128" s="35"/>
      <c r="EB128" s="36">
        <f t="shared" si="108"/>
        <v>0</v>
      </c>
      <c r="EC128" s="37"/>
      <c r="ED128" s="37"/>
      <c r="EE128" s="37"/>
      <c r="EF128" s="152"/>
      <c r="EG128" s="396"/>
      <c r="EH128" s="37"/>
      <c r="EI128" s="38" t="str">
        <f t="shared" si="111"/>
        <v/>
      </c>
      <c r="EJ128" s="230"/>
      <c r="EK128" s="230"/>
      <c r="EL128" s="230"/>
      <c r="EM128" s="230"/>
      <c r="EN128" s="230"/>
      <c r="EO128" s="230"/>
      <c r="EP128" s="230"/>
      <c r="EQ128" s="230"/>
      <c r="ER128" s="230"/>
      <c r="ES128" s="230"/>
      <c r="ET128" s="230"/>
      <c r="EU128" s="230"/>
      <c r="EV128" s="230"/>
      <c r="EW128" s="230"/>
      <c r="EX128" s="230"/>
      <c r="EY128" s="230"/>
      <c r="EZ128" s="230"/>
      <c r="FA128" s="230"/>
      <c r="FB128" s="230"/>
      <c r="FC128" s="230"/>
      <c r="FD128" s="230"/>
      <c r="FE128" s="230"/>
      <c r="FF128" s="230"/>
      <c r="FG128" s="230"/>
      <c r="FH128" s="230"/>
      <c r="FI128" s="37"/>
      <c r="FJ128" s="37"/>
      <c r="FK128" s="37"/>
      <c r="FL128" s="37"/>
      <c r="FM128" s="48" t="e">
        <f t="shared" si="73"/>
        <v>#DIV/0!</v>
      </c>
      <c r="FN128" s="48" t="e">
        <f t="shared" si="74"/>
        <v>#DIV/0!</v>
      </c>
      <c r="FO128" s="234" t="e">
        <f t="shared" si="75"/>
        <v>#DIV/0!</v>
      </c>
      <c r="FP128" s="234" t="e">
        <f t="shared" si="76"/>
        <v>#DIV/0!</v>
      </c>
      <c r="FQ128" s="235">
        <f t="shared" si="77"/>
        <v>0</v>
      </c>
    </row>
    <row r="129" spans="1:204" x14ac:dyDescent="0.15">
      <c r="A129" s="135">
        <v>131</v>
      </c>
      <c r="B129" s="92" t="s">
        <v>414</v>
      </c>
      <c r="C129" s="28">
        <v>6523</v>
      </c>
      <c r="D129" s="28">
        <v>6523</v>
      </c>
      <c r="E129" s="28">
        <v>6150</v>
      </c>
      <c r="F129" s="28">
        <v>4767</v>
      </c>
      <c r="G129" s="28"/>
      <c r="H129" s="28"/>
      <c r="I129" s="28">
        <v>64.400000000000006</v>
      </c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>
        <v>34.132000000000005</v>
      </c>
      <c r="AE129" s="28"/>
      <c r="AF129" s="28"/>
      <c r="AG129" s="28"/>
      <c r="AH129" s="28">
        <v>99</v>
      </c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>
        <v>100</v>
      </c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137">
        <v>0</v>
      </c>
      <c r="CG129" s="28"/>
      <c r="CH129" s="138">
        <v>4</v>
      </c>
      <c r="CI129" s="138">
        <v>0</v>
      </c>
      <c r="CJ129" s="138">
        <v>0</v>
      </c>
      <c r="CK129" s="138">
        <v>99</v>
      </c>
      <c r="CL129" s="138">
        <v>0</v>
      </c>
      <c r="CM129" s="138">
        <v>0</v>
      </c>
      <c r="CN129" s="138">
        <v>0</v>
      </c>
      <c r="CO129" s="138">
        <v>0</v>
      </c>
      <c r="CP129" s="138">
        <v>0</v>
      </c>
      <c r="CQ129" s="138">
        <v>0</v>
      </c>
      <c r="CR129" s="138">
        <v>0</v>
      </c>
      <c r="CS129" s="138">
        <v>0</v>
      </c>
      <c r="CT129" s="138">
        <v>0</v>
      </c>
      <c r="CU129" s="138"/>
      <c r="CV129" s="138">
        <v>0</v>
      </c>
      <c r="CW129" s="153">
        <f t="shared" si="102"/>
        <v>0</v>
      </c>
      <c r="CX129" s="153">
        <f t="shared" si="103"/>
        <v>0</v>
      </c>
      <c r="CY129" s="153">
        <f t="shared" si="104"/>
        <v>99</v>
      </c>
      <c r="CZ129" s="153">
        <f t="shared" si="105"/>
        <v>0</v>
      </c>
      <c r="DA129" s="153">
        <f t="shared" si="106"/>
        <v>0</v>
      </c>
      <c r="DB129" s="153">
        <f t="shared" si="107"/>
        <v>0</v>
      </c>
      <c r="DC129" s="153">
        <f t="shared" si="78"/>
        <v>0</v>
      </c>
      <c r="DD129" s="153">
        <f t="shared" si="65"/>
        <v>0</v>
      </c>
      <c r="DE129" s="153">
        <f t="shared" si="64"/>
        <v>0</v>
      </c>
      <c r="DF129" s="153">
        <f t="shared" si="66"/>
        <v>0</v>
      </c>
      <c r="DG129" s="153">
        <f t="shared" si="67"/>
        <v>0</v>
      </c>
      <c r="DH129" s="153">
        <f t="shared" si="68"/>
        <v>0</v>
      </c>
      <c r="DI129" s="153"/>
      <c r="DJ129" s="153"/>
      <c r="DK129" s="153"/>
      <c r="DL129" s="153"/>
      <c r="DM129" s="153"/>
      <c r="DN129" s="153"/>
      <c r="DO129" s="153"/>
      <c r="DP129" s="153"/>
      <c r="DQ129" s="229">
        <f t="shared" si="69"/>
        <v>0</v>
      </c>
      <c r="DR129" s="229">
        <f t="shared" si="110"/>
        <v>0</v>
      </c>
      <c r="DS129" s="229">
        <f t="shared" si="79"/>
        <v>0</v>
      </c>
      <c r="DT129" s="229">
        <f t="shared" si="80"/>
        <v>0</v>
      </c>
      <c r="DU129" s="229"/>
      <c r="DV129" s="230"/>
      <c r="DW129" s="54">
        <f t="shared" si="112"/>
        <v>14000</v>
      </c>
      <c r="DX129" s="154">
        <v>7</v>
      </c>
      <c r="DY129" s="231">
        <f>E129*0.77</f>
        <v>4735.5</v>
      </c>
      <c r="DZ129" s="231">
        <f>E129*0.77</f>
        <v>4735.5</v>
      </c>
      <c r="EA129" s="232"/>
      <c r="EB129" s="155">
        <f t="shared" si="108"/>
        <v>0</v>
      </c>
      <c r="EC129" s="152"/>
      <c r="ED129" s="152"/>
      <c r="EE129" s="152"/>
      <c r="EF129" s="152"/>
      <c r="EG129" s="397"/>
      <c r="EH129" s="233"/>
      <c r="EI129" s="156" t="str">
        <f t="shared" si="111"/>
        <v/>
      </c>
      <c r="EJ129" s="229"/>
      <c r="EK129" s="229"/>
      <c r="EL129" s="229"/>
      <c r="EM129" s="229"/>
      <c r="EN129" s="229"/>
      <c r="EO129" s="229"/>
      <c r="EP129" s="229"/>
      <c r="EQ129" s="229"/>
      <c r="ER129" s="229"/>
      <c r="ES129" s="229"/>
      <c r="ET129" s="229"/>
      <c r="EU129" s="229"/>
      <c r="EV129" s="229"/>
      <c r="EW129" s="229"/>
      <c r="EX129" s="229"/>
      <c r="EY129" s="229"/>
      <c r="EZ129" s="229"/>
      <c r="FA129" s="229"/>
      <c r="FB129" s="229"/>
      <c r="FC129" s="229"/>
      <c r="FD129" s="229"/>
      <c r="FE129" s="229"/>
      <c r="FF129" s="229"/>
      <c r="FG129" s="229"/>
      <c r="FH129" s="229"/>
      <c r="FI129" s="152"/>
      <c r="FJ129" s="152"/>
      <c r="FK129" s="152"/>
      <c r="FL129" s="152"/>
      <c r="FM129" s="233" t="e">
        <f t="shared" si="73"/>
        <v>#DIV/0!</v>
      </c>
      <c r="FN129" s="233" t="e">
        <f t="shared" si="74"/>
        <v>#DIV/0!</v>
      </c>
      <c r="FO129" s="234">
        <f t="shared" si="75"/>
        <v>0</v>
      </c>
      <c r="FP129" s="234" t="e">
        <f t="shared" si="76"/>
        <v>#DIV/0!</v>
      </c>
      <c r="FQ129" s="235">
        <f t="shared" si="77"/>
        <v>0</v>
      </c>
    </row>
    <row r="130" spans="1:204" ht="14" x14ac:dyDescent="0.15">
      <c r="B130" s="44" t="s">
        <v>35</v>
      </c>
      <c r="D130" s="199">
        <f t="shared" ref="D130" si="113">E130/0.96</f>
        <v>4927.0833333333339</v>
      </c>
      <c r="E130" s="199">
        <v>4730</v>
      </c>
      <c r="F130" s="199">
        <v>3650</v>
      </c>
      <c r="I130" s="200">
        <v>0</v>
      </c>
      <c r="J130" s="201">
        <v>0</v>
      </c>
      <c r="K130" s="201">
        <v>0</v>
      </c>
      <c r="AH130" s="215">
        <v>0</v>
      </c>
      <c r="AI130" s="215">
        <v>0</v>
      </c>
      <c r="AJ130" s="215">
        <v>0</v>
      </c>
      <c r="AK130" s="200">
        <v>88</v>
      </c>
      <c r="AM130" s="215">
        <v>0</v>
      </c>
      <c r="AN130" s="215">
        <v>0</v>
      </c>
      <c r="AO130" s="215">
        <v>0</v>
      </c>
      <c r="AP130" s="215"/>
      <c r="AQ130" s="215"/>
      <c r="AR130" s="215">
        <v>0</v>
      </c>
      <c r="AS130" s="165"/>
      <c r="AT130" s="165"/>
      <c r="AU130" s="165"/>
      <c r="AV130" s="165"/>
      <c r="BB130" s="218">
        <v>0</v>
      </c>
      <c r="BC130" s="218">
        <v>0</v>
      </c>
      <c r="BD130" s="218">
        <v>0</v>
      </c>
      <c r="BE130" s="171">
        <v>100</v>
      </c>
      <c r="BF130" s="23"/>
      <c r="BG130" s="218">
        <v>0</v>
      </c>
      <c r="BH130" s="218">
        <v>0</v>
      </c>
      <c r="BI130" s="218">
        <v>0</v>
      </c>
      <c r="BJ130" s="174"/>
      <c r="BK130" s="174"/>
      <c r="BL130" s="171">
        <v>100</v>
      </c>
      <c r="BM130" s="171"/>
      <c r="BN130" s="171"/>
      <c r="BO130" s="171"/>
      <c r="BP130" s="171"/>
      <c r="BS130" s="200"/>
      <c r="BT130" s="224"/>
      <c r="BU130" s="201">
        <v>0</v>
      </c>
      <c r="BW130" s="201">
        <v>0</v>
      </c>
      <c r="BX130" s="200"/>
      <c r="CV130" s="228"/>
      <c r="CW130" s="107">
        <f t="shared" ref="CW130:CW187" si="114">AF130*AZ130/100</f>
        <v>0</v>
      </c>
      <c r="CX130" s="107">
        <f t="shared" ref="CX130:CX171" si="115">AG130*BA130/100</f>
        <v>0</v>
      </c>
      <c r="CY130" s="107">
        <f t="shared" ref="CY130:CY187" si="116">AH130*BB130/100</f>
        <v>0</v>
      </c>
      <c r="CZ130" s="107">
        <f t="shared" ref="CZ130:CZ187" si="117">AI130*BC130/100</f>
        <v>0</v>
      </c>
      <c r="DA130" s="107">
        <f t="shared" ref="DA130:DA187" si="118">AJ130*BD130/100</f>
        <v>0</v>
      </c>
      <c r="DB130" s="107">
        <f t="shared" ref="DB130:DB187" si="119">AK130*BE130/100</f>
        <v>88</v>
      </c>
      <c r="DC130" s="107">
        <f t="shared" si="78"/>
        <v>88</v>
      </c>
      <c r="DD130" s="107">
        <f t="shared" si="65"/>
        <v>0</v>
      </c>
      <c r="DE130" s="107">
        <f t="shared" si="64"/>
        <v>0</v>
      </c>
      <c r="DF130" s="107">
        <f t="shared" si="66"/>
        <v>0</v>
      </c>
      <c r="DG130" s="107">
        <f t="shared" si="67"/>
        <v>0</v>
      </c>
      <c r="DH130" s="107">
        <f t="shared" si="68"/>
        <v>0</v>
      </c>
      <c r="DI130" s="107"/>
      <c r="DJ130" s="107"/>
      <c r="DK130" s="107"/>
      <c r="DL130" s="107"/>
      <c r="DM130" s="107"/>
      <c r="DN130" s="107"/>
      <c r="DO130" s="107"/>
      <c r="DP130"/>
      <c r="DQ130">
        <f>CB130*BX130/100</f>
        <v>0</v>
      </c>
      <c r="DR130">
        <f t="shared" ref="DR130:DR165" si="120">CC130*BX130/100</f>
        <v>0</v>
      </c>
      <c r="DS130">
        <f t="shared" si="79"/>
        <v>0</v>
      </c>
      <c r="DT130">
        <f t="shared" si="80"/>
        <v>0</v>
      </c>
      <c r="DU130"/>
      <c r="DV130" s="236"/>
      <c r="DW130" s="237">
        <f t="shared" ref="DW130" si="121">DX130*2000</f>
        <v>2400</v>
      </c>
      <c r="DX130" s="238">
        <v>1.2</v>
      </c>
      <c r="DY130" s="210">
        <v>3650</v>
      </c>
      <c r="DZ130" s="210">
        <v>3650</v>
      </c>
      <c r="EA130" s="239"/>
      <c r="EB130" s="240">
        <f t="shared" si="108"/>
        <v>0</v>
      </c>
      <c r="EC130" s="208">
        <v>0</v>
      </c>
      <c r="ED130" s="208">
        <v>0</v>
      </c>
      <c r="EE130" s="208">
        <v>0</v>
      </c>
      <c r="EF130" s="208"/>
      <c r="EG130" s="398"/>
      <c r="EH130" s="208">
        <v>0</v>
      </c>
      <c r="EI130" s="178">
        <f t="shared" si="111"/>
        <v>0</v>
      </c>
      <c r="EJ130" s="115"/>
      <c r="EK130" s="115"/>
      <c r="EL130" s="115"/>
      <c r="EM130" s="115"/>
      <c r="EN130" s="115"/>
      <c r="EO130" s="115"/>
      <c r="EP130" s="115"/>
      <c r="EQ130" s="115"/>
      <c r="ER130" s="115"/>
      <c r="ES130" s="115"/>
      <c r="ET130" s="115"/>
      <c r="EU130" s="115"/>
      <c r="EV130" s="115"/>
      <c r="EW130" s="115"/>
      <c r="EX130" s="115"/>
      <c r="EY130" s="115"/>
      <c r="EZ130" s="115"/>
      <c r="FA130" s="115"/>
      <c r="FB130" s="115"/>
      <c r="FC130" s="115"/>
      <c r="FD130" s="115"/>
      <c r="FE130" s="115"/>
      <c r="FF130" s="115"/>
      <c r="FG130" s="115"/>
      <c r="FH130" s="115"/>
      <c r="FI130" s="115"/>
      <c r="FJ130" s="115"/>
      <c r="FK130" s="115"/>
      <c r="FL130" s="115"/>
      <c r="FM130" s="242" t="e">
        <f t="shared" si="73"/>
        <v>#DIV/0!</v>
      </c>
      <c r="FN130" s="242" t="e">
        <f t="shared" si="74"/>
        <v>#DIV/0!</v>
      </c>
      <c r="FO130" s="142" t="e">
        <f t="shared" si="75"/>
        <v>#DIV/0!</v>
      </c>
      <c r="FP130" s="142" t="e">
        <f t="shared" si="76"/>
        <v>#DIV/0!</v>
      </c>
      <c r="FQ130" s="180" t="e">
        <f t="shared" si="77"/>
        <v>#DIV/0!</v>
      </c>
    </row>
    <row r="131" spans="1:204" ht="14" x14ac:dyDescent="0.15">
      <c r="B131" s="90" t="s">
        <v>90</v>
      </c>
      <c r="D131" s="202">
        <f>17.59/4.184*1000</f>
        <v>4204.1108986615673</v>
      </c>
      <c r="E131" s="202">
        <f>15.35/4.184*1000</f>
        <v>3668.738049713193</v>
      </c>
      <c r="F131" s="203">
        <f>E131*0.77</f>
        <v>2824.9282982791588</v>
      </c>
      <c r="G131" s="1"/>
      <c r="H131" s="1"/>
      <c r="I131" s="204">
        <f>0.192*6.25*100</f>
        <v>120</v>
      </c>
      <c r="J131" s="115"/>
      <c r="K131" s="115"/>
      <c r="AH131" s="116"/>
      <c r="AI131" s="116"/>
      <c r="AJ131" s="116"/>
      <c r="AK131" s="116"/>
      <c r="AL131" s="1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BB131" s="172"/>
      <c r="BC131" s="172"/>
      <c r="BD131" s="172"/>
      <c r="BE131" s="172"/>
      <c r="BF131" s="171"/>
      <c r="BG131" s="172"/>
      <c r="BH131" s="172"/>
      <c r="BI131" s="172"/>
      <c r="BJ131" s="172"/>
      <c r="BK131" s="172"/>
      <c r="BL131" s="172"/>
      <c r="BM131" s="172"/>
      <c r="BN131" s="172"/>
      <c r="BO131" s="172"/>
      <c r="BP131" s="172"/>
      <c r="BS131" s="116"/>
      <c r="BT131" s="115"/>
      <c r="BU131" s="115"/>
      <c r="BV131" s="1"/>
      <c r="BW131" s="115"/>
      <c r="BX131" s="116"/>
      <c r="CV131" s="228"/>
      <c r="CW131" s="107">
        <f t="shared" si="114"/>
        <v>0</v>
      </c>
      <c r="CX131" s="107">
        <f t="shared" si="115"/>
        <v>0</v>
      </c>
      <c r="CY131" s="107">
        <f t="shared" si="116"/>
        <v>0</v>
      </c>
      <c r="CZ131" s="107">
        <f t="shared" si="117"/>
        <v>0</v>
      </c>
      <c r="DA131" s="107">
        <f t="shared" si="118"/>
        <v>0</v>
      </c>
      <c r="DB131" s="107">
        <f t="shared" si="119"/>
        <v>0</v>
      </c>
      <c r="DC131" s="107">
        <f t="shared" si="78"/>
        <v>0</v>
      </c>
      <c r="DD131" s="107">
        <f t="shared" si="65"/>
        <v>0</v>
      </c>
      <c r="DE131" s="107">
        <f t="shared" si="64"/>
        <v>0</v>
      </c>
      <c r="DF131" s="107">
        <f t="shared" si="66"/>
        <v>0</v>
      </c>
      <c r="DG131" s="107">
        <f t="shared" si="67"/>
        <v>0</v>
      </c>
      <c r="DH131" s="228">
        <f t="shared" si="68"/>
        <v>0</v>
      </c>
      <c r="DI131" s="228"/>
      <c r="DJ131" s="228"/>
      <c r="DK131" s="228"/>
      <c r="DL131" s="228"/>
      <c r="DM131" s="228"/>
      <c r="DN131" s="228"/>
      <c r="DO131" s="228"/>
      <c r="DQ131" s="1">
        <f t="shared" ref="DQ131:DQ184" si="122">CB131*BX131/100</f>
        <v>0</v>
      </c>
      <c r="DR131" s="1">
        <f t="shared" si="120"/>
        <v>0</v>
      </c>
      <c r="DS131" s="1">
        <f t="shared" si="79"/>
        <v>0</v>
      </c>
      <c r="DT131" s="1">
        <f t="shared" si="80"/>
        <v>0</v>
      </c>
      <c r="DW131" s="237">
        <f t="shared" ref="DW131:DW136" si="123">DX131*2000</f>
        <v>0</v>
      </c>
      <c r="DX131" s="238">
        <v>0</v>
      </c>
      <c r="DY131" s="203">
        <f>E131*0.77</f>
        <v>2824.9282982791588</v>
      </c>
      <c r="DZ131" s="203">
        <f>E131*0.77</f>
        <v>2824.9282982791588</v>
      </c>
      <c r="EA131" s="239"/>
      <c r="EB131" s="240">
        <f t="shared" si="108"/>
        <v>0</v>
      </c>
      <c r="EC131" s="115"/>
      <c r="ED131" s="115"/>
      <c r="EE131" s="115"/>
      <c r="EF131" s="115"/>
      <c r="EG131" s="399"/>
      <c r="EH131" s="115"/>
      <c r="EI131" s="178" t="str">
        <f t="shared" si="111"/>
        <v/>
      </c>
      <c r="FM131" s="242" t="e">
        <f t="shared" si="73"/>
        <v>#DIV/0!</v>
      </c>
      <c r="FN131" s="242" t="e">
        <f t="shared" si="74"/>
        <v>#DIV/0!</v>
      </c>
      <c r="FO131" s="243" t="e">
        <f t="shared" si="75"/>
        <v>#DIV/0!</v>
      </c>
      <c r="FP131" s="243" t="e">
        <f t="shared" si="76"/>
        <v>#DIV/0!</v>
      </c>
      <c r="FQ131" s="244">
        <f t="shared" si="77"/>
        <v>0</v>
      </c>
    </row>
    <row r="132" spans="1:204" ht="14" x14ac:dyDescent="0.15">
      <c r="B132" s="90" t="s">
        <v>91</v>
      </c>
      <c r="D132" s="203">
        <f>E132/0.96</f>
        <v>3629.166666666667</v>
      </c>
      <c r="E132" s="205">
        <v>3484</v>
      </c>
      <c r="F132" s="203">
        <f>E132*0.77</f>
        <v>2682.68</v>
      </c>
      <c r="G132" s="1"/>
      <c r="H132" s="1"/>
      <c r="I132" s="116">
        <v>56.8</v>
      </c>
      <c r="J132" s="115"/>
      <c r="K132" s="115"/>
      <c r="AH132" s="116"/>
      <c r="AI132" s="116"/>
      <c r="AJ132" s="116"/>
      <c r="AK132" s="116"/>
      <c r="AL132" s="1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BB132" s="172"/>
      <c r="BC132" s="172"/>
      <c r="BD132" s="172"/>
      <c r="BE132" s="172"/>
      <c r="BF132" s="171"/>
      <c r="BG132" s="172"/>
      <c r="BH132" s="172"/>
      <c r="BI132" s="172"/>
      <c r="BJ132" s="172"/>
      <c r="BK132" s="172"/>
      <c r="BL132" s="172"/>
      <c r="BM132" s="172"/>
      <c r="BN132" s="172"/>
      <c r="BO132" s="172"/>
      <c r="BP132" s="172"/>
      <c r="BS132" s="116"/>
      <c r="BT132" s="115"/>
      <c r="BU132" s="115"/>
      <c r="BV132" s="1"/>
      <c r="BW132" s="115"/>
      <c r="BX132" s="116"/>
      <c r="CV132" s="228"/>
      <c r="CW132" s="107">
        <f t="shared" si="114"/>
        <v>0</v>
      </c>
      <c r="CX132" s="107">
        <f t="shared" si="115"/>
        <v>0</v>
      </c>
      <c r="CY132" s="107">
        <f t="shared" si="116"/>
        <v>0</v>
      </c>
      <c r="CZ132" s="107">
        <f t="shared" si="117"/>
        <v>0</v>
      </c>
      <c r="DA132" s="107">
        <f t="shared" si="118"/>
        <v>0</v>
      </c>
      <c r="DB132" s="107">
        <f t="shared" si="119"/>
        <v>0</v>
      </c>
      <c r="DC132" s="107">
        <f t="shared" si="78"/>
        <v>0</v>
      </c>
      <c r="DD132" s="107">
        <f t="shared" si="65"/>
        <v>0</v>
      </c>
      <c r="DE132" s="107">
        <f t="shared" si="64"/>
        <v>0</v>
      </c>
      <c r="DF132" s="107">
        <f t="shared" si="66"/>
        <v>0</v>
      </c>
      <c r="DG132" s="107">
        <f t="shared" si="67"/>
        <v>0</v>
      </c>
      <c r="DH132" s="228">
        <f t="shared" si="68"/>
        <v>0</v>
      </c>
      <c r="DI132" s="228"/>
      <c r="DJ132" s="228"/>
      <c r="DK132" s="228"/>
      <c r="DL132" s="228"/>
      <c r="DM132" s="228"/>
      <c r="DN132" s="228"/>
      <c r="DO132" s="228"/>
      <c r="DQ132" s="1">
        <f t="shared" si="122"/>
        <v>0</v>
      </c>
      <c r="DR132" s="1">
        <f t="shared" si="120"/>
        <v>0</v>
      </c>
      <c r="DS132" s="1">
        <f t="shared" si="79"/>
        <v>0</v>
      </c>
      <c r="DT132" s="1">
        <f t="shared" si="80"/>
        <v>0</v>
      </c>
      <c r="DW132" s="237">
        <f t="shared" si="123"/>
        <v>0</v>
      </c>
      <c r="DX132" s="238">
        <v>0</v>
      </c>
      <c r="DY132" s="203">
        <f>E132*0.77</f>
        <v>2682.68</v>
      </c>
      <c r="DZ132" s="203">
        <f>E132*0.77</f>
        <v>2682.68</v>
      </c>
      <c r="EA132" s="239"/>
      <c r="EB132" s="240">
        <f t="shared" si="108"/>
        <v>0</v>
      </c>
      <c r="EC132" s="115"/>
      <c r="ED132" s="115"/>
      <c r="EE132" s="115"/>
      <c r="EF132" s="115"/>
      <c r="EG132" s="399"/>
      <c r="EH132" s="115"/>
      <c r="EI132" s="178" t="str">
        <f t="shared" si="111"/>
        <v/>
      </c>
      <c r="FM132" s="242" t="e">
        <f t="shared" si="73"/>
        <v>#DIV/0!</v>
      </c>
      <c r="FN132" s="242" t="e">
        <f t="shared" si="74"/>
        <v>#DIV/0!</v>
      </c>
      <c r="FO132" s="243" t="e">
        <f t="shared" si="75"/>
        <v>#DIV/0!</v>
      </c>
      <c r="FP132" s="243" t="e">
        <f t="shared" si="76"/>
        <v>#DIV/0!</v>
      </c>
      <c r="FQ132" s="244">
        <f t="shared" si="77"/>
        <v>0</v>
      </c>
    </row>
    <row r="133" spans="1:204" ht="14" x14ac:dyDescent="0.15">
      <c r="B133" s="91" t="s">
        <v>92</v>
      </c>
      <c r="D133" s="206">
        <f>2007*2.2046</f>
        <v>4424.6322</v>
      </c>
      <c r="E133" s="206">
        <f>1916*2.2046</f>
        <v>4224.0136000000002</v>
      </c>
      <c r="F133" s="206">
        <f>DY133</f>
        <v>3145.9642000000003</v>
      </c>
      <c r="G133" s="1"/>
      <c r="H133" s="1"/>
      <c r="I133" s="207">
        <v>75</v>
      </c>
      <c r="J133" s="208"/>
      <c r="K133" s="208"/>
      <c r="AH133" s="166">
        <v>0.4</v>
      </c>
      <c r="AI133" s="166">
        <v>0.7</v>
      </c>
      <c r="AJ133" s="166">
        <v>50.7</v>
      </c>
      <c r="AK133" s="166">
        <v>0.2</v>
      </c>
      <c r="AL133" s="1"/>
      <c r="AM133" s="166">
        <v>0.4</v>
      </c>
      <c r="AN133" s="166">
        <v>0.14000000000000001</v>
      </c>
      <c r="AO133" s="166">
        <v>0.7</v>
      </c>
      <c r="AP133" s="166"/>
      <c r="AQ133" s="166"/>
      <c r="AR133" s="166">
        <v>0.1</v>
      </c>
      <c r="AS133" s="166"/>
      <c r="AT133" s="166"/>
      <c r="AU133" s="166"/>
      <c r="AV133" s="166"/>
      <c r="BB133" s="171">
        <v>100</v>
      </c>
      <c r="BC133" s="171">
        <v>100</v>
      </c>
      <c r="BD133" s="171">
        <v>100</v>
      </c>
      <c r="BE133" s="171">
        <v>100</v>
      </c>
      <c r="BF133" s="171">
        <v>100</v>
      </c>
      <c r="BG133" s="171">
        <v>100</v>
      </c>
      <c r="BH133" s="171">
        <v>100</v>
      </c>
      <c r="BI133" s="171">
        <v>100</v>
      </c>
      <c r="BJ133" s="171"/>
      <c r="BK133" s="171"/>
      <c r="BL133" s="171">
        <v>100</v>
      </c>
      <c r="BM133" s="171"/>
      <c r="BN133" s="171"/>
      <c r="BO133" s="171"/>
      <c r="BP133" s="171"/>
      <c r="BS133" s="207"/>
      <c r="BT133" s="115"/>
      <c r="BU133" s="208"/>
      <c r="BV133" s="1"/>
      <c r="BW133" s="208"/>
      <c r="BX133" s="207">
        <v>0.16</v>
      </c>
      <c r="CV133" s="228"/>
      <c r="CW133" s="107">
        <f t="shared" si="114"/>
        <v>0</v>
      </c>
      <c r="CX133" s="107">
        <f t="shared" si="115"/>
        <v>0</v>
      </c>
      <c r="CY133" s="107">
        <f t="shared" si="116"/>
        <v>0.4</v>
      </c>
      <c r="CZ133" s="107">
        <f t="shared" si="117"/>
        <v>0.7</v>
      </c>
      <c r="DA133" s="107">
        <f t="shared" si="118"/>
        <v>50.7</v>
      </c>
      <c r="DB133" s="107">
        <f t="shared" si="119"/>
        <v>0.2</v>
      </c>
      <c r="DC133" s="107">
        <f t="shared" si="78"/>
        <v>0.3</v>
      </c>
      <c r="DD133" s="107">
        <f t="shared" si="65"/>
        <v>0</v>
      </c>
      <c r="DE133" s="107">
        <f t="shared" si="64"/>
        <v>0</v>
      </c>
      <c r="DF133" s="107">
        <f t="shared" si="66"/>
        <v>0.4</v>
      </c>
      <c r="DG133" s="107">
        <f t="shared" si="67"/>
        <v>0.14000000000000001</v>
      </c>
      <c r="DH133" s="228">
        <f t="shared" si="68"/>
        <v>0.7</v>
      </c>
      <c r="DI133" s="228"/>
      <c r="DJ133" s="228"/>
      <c r="DK133" s="228"/>
      <c r="DL133" s="228"/>
      <c r="DM133" s="228"/>
      <c r="DN133" s="228"/>
      <c r="DO133" s="228"/>
      <c r="DQ133" s="1">
        <f t="shared" si="122"/>
        <v>0</v>
      </c>
      <c r="DR133" s="1">
        <f t="shared" si="120"/>
        <v>0</v>
      </c>
      <c r="DS133" s="1">
        <f t="shared" si="79"/>
        <v>0</v>
      </c>
      <c r="DT133" s="1">
        <f t="shared" si="80"/>
        <v>0</v>
      </c>
      <c r="DV133" s="236"/>
      <c r="DW133" s="237">
        <f t="shared" si="123"/>
        <v>1400</v>
      </c>
      <c r="DX133" s="238">
        <v>0.7</v>
      </c>
      <c r="DY133" s="209">
        <f>1427*2.2046</f>
        <v>3145.9642000000003</v>
      </c>
      <c r="DZ133" s="209">
        <f>DY133</f>
        <v>3145.9642000000003</v>
      </c>
      <c r="EA133" s="239">
        <v>1</v>
      </c>
      <c r="EB133" s="240">
        <f t="shared" si="108"/>
        <v>0.16</v>
      </c>
      <c r="EC133" s="208"/>
      <c r="ED133" s="208"/>
      <c r="EE133" s="208"/>
      <c r="EF133" s="208"/>
      <c r="EG133" s="398"/>
      <c r="EH133" s="208"/>
      <c r="EI133" s="178">
        <f t="shared" si="111"/>
        <v>10</v>
      </c>
      <c r="EJ133" s="115"/>
      <c r="EK133" s="115"/>
      <c r="EL133" s="115"/>
      <c r="EM133" s="115"/>
      <c r="EN133" s="115"/>
      <c r="EO133" s="115"/>
      <c r="EP133" s="115"/>
      <c r="EQ133" s="115"/>
      <c r="ER133" s="115"/>
      <c r="ES133" s="115"/>
      <c r="ET133" s="115"/>
      <c r="EU133" s="115"/>
      <c r="EV133" s="115"/>
      <c r="EW133" s="115"/>
      <c r="EX133" s="115"/>
      <c r="EY133" s="115"/>
      <c r="EZ133" s="115"/>
      <c r="FA133" s="115"/>
      <c r="FB133" s="115"/>
      <c r="FC133" s="115"/>
      <c r="FD133" s="115"/>
      <c r="FE133" s="115"/>
      <c r="FF133" s="115"/>
      <c r="FG133" s="115"/>
      <c r="FH133" s="115"/>
      <c r="FI133" s="115"/>
      <c r="FJ133" s="115"/>
      <c r="FK133" s="115"/>
      <c r="FL133" s="115"/>
      <c r="FM133" s="242">
        <f t="shared" si="73"/>
        <v>1</v>
      </c>
      <c r="FN133" s="242">
        <f t="shared" si="74"/>
        <v>0.57142857142857151</v>
      </c>
      <c r="FO133" s="243">
        <f t="shared" si="75"/>
        <v>1.7499999999999998</v>
      </c>
      <c r="FP133" s="243">
        <f t="shared" si="76"/>
        <v>0.20000000000000004</v>
      </c>
      <c r="FQ133" s="244">
        <f t="shared" si="77"/>
        <v>9.3333333333333324E-3</v>
      </c>
    </row>
    <row r="134" spans="1:204" ht="14" x14ac:dyDescent="0.15">
      <c r="B134" s="91" t="s">
        <v>94</v>
      </c>
      <c r="D134" s="209">
        <v>3740</v>
      </c>
      <c r="E134" s="206">
        <v>3390</v>
      </c>
      <c r="F134" s="206">
        <v>2640</v>
      </c>
      <c r="G134" s="1"/>
      <c r="H134" s="1"/>
      <c r="I134" s="207">
        <f>11.5*6.25</f>
        <v>71.875</v>
      </c>
      <c r="J134" s="208"/>
      <c r="K134" s="208"/>
      <c r="AH134" s="165"/>
      <c r="AI134" s="165"/>
      <c r="AJ134" s="166">
        <v>60</v>
      </c>
      <c r="AK134" s="207"/>
      <c r="AL134" s="1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BB134" s="174"/>
      <c r="BC134" s="174"/>
      <c r="BD134" s="171">
        <v>100</v>
      </c>
      <c r="BE134" s="173"/>
      <c r="BF134" s="171"/>
      <c r="BG134" s="174"/>
      <c r="BH134" s="174"/>
      <c r="BI134" s="174"/>
      <c r="BJ134" s="174"/>
      <c r="BK134" s="174"/>
      <c r="BL134" s="173"/>
      <c r="BM134" s="173"/>
      <c r="BN134" s="173"/>
      <c r="BO134" s="173"/>
      <c r="BP134" s="173"/>
      <c r="BS134" s="207"/>
      <c r="BT134" s="115"/>
      <c r="BU134" s="208"/>
      <c r="BV134" s="1"/>
      <c r="BW134" s="208"/>
      <c r="BX134" s="207"/>
      <c r="CV134" s="228"/>
      <c r="CW134" s="107">
        <f t="shared" si="114"/>
        <v>0</v>
      </c>
      <c r="CX134" s="107">
        <f t="shared" si="115"/>
        <v>0</v>
      </c>
      <c r="CY134" s="107">
        <f t="shared" si="116"/>
        <v>0</v>
      </c>
      <c r="CZ134" s="107">
        <f t="shared" si="117"/>
        <v>0</v>
      </c>
      <c r="DA134" s="107">
        <f t="shared" si="118"/>
        <v>60</v>
      </c>
      <c r="DB134" s="107">
        <f t="shared" si="119"/>
        <v>0</v>
      </c>
      <c r="DC134" s="107">
        <f t="shared" si="78"/>
        <v>0</v>
      </c>
      <c r="DD134" s="107">
        <f t="shared" si="65"/>
        <v>0</v>
      </c>
      <c r="DE134" s="107">
        <f t="shared" si="64"/>
        <v>0</v>
      </c>
      <c r="DF134" s="107">
        <f t="shared" si="66"/>
        <v>0</v>
      </c>
      <c r="DG134" s="107">
        <f t="shared" si="67"/>
        <v>0</v>
      </c>
      <c r="DH134" s="228">
        <f t="shared" si="68"/>
        <v>0</v>
      </c>
      <c r="DI134" s="228"/>
      <c r="DJ134" s="228"/>
      <c r="DK134" s="228"/>
      <c r="DL134" s="228"/>
      <c r="DM134" s="228"/>
      <c r="DN134" s="228"/>
      <c r="DO134" s="228"/>
      <c r="DQ134" s="1">
        <f t="shared" si="122"/>
        <v>0</v>
      </c>
      <c r="DR134" s="1">
        <f t="shared" si="120"/>
        <v>0</v>
      </c>
      <c r="DS134" s="1">
        <f t="shared" si="79"/>
        <v>0</v>
      </c>
      <c r="DT134" s="1">
        <f t="shared" si="80"/>
        <v>0</v>
      </c>
      <c r="DV134" s="236"/>
      <c r="DW134" s="237">
        <f t="shared" si="123"/>
        <v>1200</v>
      </c>
      <c r="DX134" s="238">
        <v>0.6</v>
      </c>
      <c r="DY134" s="209">
        <v>2640</v>
      </c>
      <c r="DZ134" s="209">
        <v>2640</v>
      </c>
      <c r="EA134" s="239"/>
      <c r="EB134" s="240">
        <f t="shared" si="108"/>
        <v>0</v>
      </c>
      <c r="EC134" s="208"/>
      <c r="ED134" s="208"/>
      <c r="EE134" s="208"/>
      <c r="EF134" s="208"/>
      <c r="EG134" s="398"/>
      <c r="EH134" s="208"/>
      <c r="EI134" s="178" t="str">
        <f t="shared" si="111"/>
        <v/>
      </c>
      <c r="EJ134" s="115"/>
      <c r="EK134" s="115"/>
      <c r="EL134" s="115"/>
      <c r="EM134" s="115"/>
      <c r="EN134" s="115"/>
      <c r="EO134" s="115"/>
      <c r="EP134" s="115"/>
      <c r="EQ134" s="115"/>
      <c r="ER134" s="115"/>
      <c r="ES134" s="115"/>
      <c r="ET134" s="115"/>
      <c r="EU134" s="115"/>
      <c r="EV134" s="115"/>
      <c r="EW134" s="115"/>
      <c r="EX134" s="115"/>
      <c r="EY134" s="115"/>
      <c r="EZ134" s="115"/>
      <c r="FA134" s="115"/>
      <c r="FB134" s="115"/>
      <c r="FC134" s="115"/>
      <c r="FD134" s="115"/>
      <c r="FE134" s="115"/>
      <c r="FF134" s="115"/>
      <c r="FG134" s="115"/>
      <c r="FH134" s="115"/>
      <c r="FI134" s="115"/>
      <c r="FJ134" s="115"/>
      <c r="FK134" s="115"/>
      <c r="FL134" s="115"/>
      <c r="FM134" s="242" t="e">
        <f t="shared" si="73"/>
        <v>#DIV/0!</v>
      </c>
      <c r="FN134" s="242" t="e">
        <f t="shared" si="74"/>
        <v>#DIV/0!</v>
      </c>
      <c r="FO134" s="243" t="e">
        <f t="shared" si="75"/>
        <v>#DIV/0!</v>
      </c>
      <c r="FP134" s="243" t="e">
        <f t="shared" si="76"/>
        <v>#DIV/0!</v>
      </c>
      <c r="FQ134" s="244">
        <f t="shared" si="77"/>
        <v>0</v>
      </c>
    </row>
    <row r="135" spans="1:204" ht="14" x14ac:dyDescent="0.15">
      <c r="B135" s="91" t="s">
        <v>93</v>
      </c>
      <c r="D135" s="206">
        <f>E135/0.96</f>
        <v>4578.125</v>
      </c>
      <c r="E135" s="206">
        <v>4395</v>
      </c>
      <c r="F135" s="206">
        <f>0.77*E135</f>
        <v>3384.15</v>
      </c>
      <c r="G135" s="1"/>
      <c r="H135" s="1"/>
      <c r="I135" s="207">
        <v>49.4</v>
      </c>
      <c r="J135" s="208"/>
      <c r="K135" s="208"/>
      <c r="AH135" s="165"/>
      <c r="AI135" s="165"/>
      <c r="AJ135" s="165"/>
      <c r="AK135" s="207">
        <v>84</v>
      </c>
      <c r="AL135" s="1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BB135" s="174"/>
      <c r="BC135" s="174"/>
      <c r="BD135" s="174"/>
      <c r="BE135" s="171">
        <v>100</v>
      </c>
      <c r="BF135" s="171"/>
      <c r="BG135" s="174"/>
      <c r="BH135" s="174"/>
      <c r="BI135" s="174"/>
      <c r="BJ135" s="174"/>
      <c r="BK135" s="174"/>
      <c r="BL135" s="173"/>
      <c r="BM135" s="173"/>
      <c r="BN135" s="173"/>
      <c r="BO135" s="173"/>
      <c r="BP135" s="173"/>
      <c r="BS135" s="207">
        <v>12</v>
      </c>
      <c r="BT135" s="115"/>
      <c r="BU135" s="208"/>
      <c r="BV135" s="1"/>
      <c r="BW135" s="208"/>
      <c r="BX135" s="207"/>
      <c r="CV135" s="228"/>
      <c r="CW135" s="107">
        <f t="shared" si="114"/>
        <v>0</v>
      </c>
      <c r="CX135" s="107">
        <f t="shared" si="115"/>
        <v>0</v>
      </c>
      <c r="CY135" s="107">
        <f t="shared" si="116"/>
        <v>0</v>
      </c>
      <c r="CZ135" s="107">
        <f t="shared" si="117"/>
        <v>0</v>
      </c>
      <c r="DA135" s="107">
        <f t="shared" si="118"/>
        <v>0</v>
      </c>
      <c r="DB135" s="107">
        <f t="shared" si="119"/>
        <v>84</v>
      </c>
      <c r="DC135" s="107">
        <f t="shared" si="78"/>
        <v>84</v>
      </c>
      <c r="DD135" s="107">
        <f t="shared" si="65"/>
        <v>0</v>
      </c>
      <c r="DE135" s="107">
        <f t="shared" si="64"/>
        <v>0</v>
      </c>
      <c r="DF135" s="107">
        <f t="shared" si="66"/>
        <v>0</v>
      </c>
      <c r="DG135" s="107">
        <f t="shared" si="67"/>
        <v>0</v>
      </c>
      <c r="DH135" s="228">
        <f t="shared" si="68"/>
        <v>0</v>
      </c>
      <c r="DI135" s="228"/>
      <c r="DJ135" s="228"/>
      <c r="DK135" s="228"/>
      <c r="DL135" s="228"/>
      <c r="DM135" s="228"/>
      <c r="DN135" s="228"/>
      <c r="DO135" s="228"/>
      <c r="DQ135" s="1">
        <f t="shared" si="122"/>
        <v>0</v>
      </c>
      <c r="DR135" s="1">
        <f t="shared" si="120"/>
        <v>0</v>
      </c>
      <c r="DS135" s="1">
        <f t="shared" si="79"/>
        <v>0</v>
      </c>
      <c r="DT135" s="1">
        <f t="shared" si="80"/>
        <v>0</v>
      </c>
      <c r="DV135" s="236"/>
      <c r="DW135" s="237">
        <f t="shared" si="123"/>
        <v>4400</v>
      </c>
      <c r="DX135" s="238">
        <v>2.2000000000000002</v>
      </c>
      <c r="DY135" s="210">
        <f>0.77*E135</f>
        <v>3384.15</v>
      </c>
      <c r="DZ135" s="210">
        <f>0.77*E135</f>
        <v>3384.15</v>
      </c>
      <c r="EA135" s="239"/>
      <c r="EB135" s="240">
        <f t="shared" si="108"/>
        <v>0</v>
      </c>
      <c r="EC135" s="208"/>
      <c r="ED135" s="208"/>
      <c r="EE135" s="208"/>
      <c r="EF135" s="208"/>
      <c r="EG135" s="398"/>
      <c r="EH135" s="208"/>
      <c r="EI135" s="178" t="str">
        <f t="shared" si="111"/>
        <v/>
      </c>
      <c r="EJ135" s="115"/>
      <c r="EK135" s="115"/>
      <c r="EL135" s="115"/>
      <c r="EM135" s="115"/>
      <c r="EN135" s="115"/>
      <c r="EO135" s="115"/>
      <c r="EP135" s="115"/>
      <c r="EQ135" s="115"/>
      <c r="ER135" s="115"/>
      <c r="ES135" s="115"/>
      <c r="ET135" s="115"/>
      <c r="EU135" s="115"/>
      <c r="EV135" s="115"/>
      <c r="EW135" s="115"/>
      <c r="EX135" s="115"/>
      <c r="EY135" s="115"/>
      <c r="EZ135" s="115"/>
      <c r="FA135" s="115"/>
      <c r="FB135" s="115"/>
      <c r="FC135" s="115"/>
      <c r="FD135" s="115"/>
      <c r="FE135" s="115"/>
      <c r="FF135" s="115"/>
      <c r="FG135" s="115"/>
      <c r="FH135" s="115"/>
      <c r="FI135" s="115"/>
      <c r="FJ135" s="115"/>
      <c r="FK135" s="115"/>
      <c r="FL135" s="115"/>
      <c r="FM135" s="242" t="e">
        <f t="shared" si="73"/>
        <v>#DIV/0!</v>
      </c>
      <c r="FN135" s="242" t="e">
        <f t="shared" si="74"/>
        <v>#DIV/0!</v>
      </c>
      <c r="FO135" s="243" t="e">
        <f t="shared" si="75"/>
        <v>#DIV/0!</v>
      </c>
      <c r="FP135" s="243" t="e">
        <f t="shared" si="76"/>
        <v>#DIV/0!</v>
      </c>
      <c r="FQ135" s="244">
        <f t="shared" si="77"/>
        <v>0</v>
      </c>
    </row>
    <row r="136" spans="1:204" s="1" customFormat="1" ht="12.75" customHeight="1" x14ac:dyDescent="0.15">
      <c r="A136"/>
      <c r="B136" s="31" t="s">
        <v>36</v>
      </c>
      <c r="C136"/>
      <c r="D136" s="210"/>
      <c r="E136" s="210"/>
      <c r="F136" s="210"/>
      <c r="I136" s="207"/>
      <c r="J136" s="208">
        <v>0</v>
      </c>
      <c r="K136" s="208">
        <v>0</v>
      </c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 s="165">
        <v>0</v>
      </c>
      <c r="AI136" s="165">
        <v>0</v>
      </c>
      <c r="AJ136" s="165">
        <v>0</v>
      </c>
      <c r="AK136" s="165">
        <v>0</v>
      </c>
      <c r="AM136" s="165">
        <v>0</v>
      </c>
      <c r="AN136" s="165">
        <v>0</v>
      </c>
      <c r="AO136" s="165">
        <v>0</v>
      </c>
      <c r="AP136" s="165"/>
      <c r="AQ136" s="165"/>
      <c r="AR136" s="165">
        <v>0</v>
      </c>
      <c r="AS136" s="165"/>
      <c r="AT136" s="165"/>
      <c r="AU136" s="165"/>
      <c r="AV136" s="165"/>
      <c r="AW136"/>
      <c r="AX136"/>
      <c r="AY136"/>
      <c r="AZ136"/>
      <c r="BA136"/>
      <c r="BB136" s="174">
        <v>0</v>
      </c>
      <c r="BC136" s="174">
        <v>0</v>
      </c>
      <c r="BD136" s="174">
        <v>0</v>
      </c>
      <c r="BE136" s="174">
        <v>0</v>
      </c>
      <c r="BF136" s="171"/>
      <c r="BG136" s="174">
        <v>0</v>
      </c>
      <c r="BH136" s="174">
        <v>0</v>
      </c>
      <c r="BI136" s="174">
        <v>0</v>
      </c>
      <c r="BJ136" s="174"/>
      <c r="BK136" s="174"/>
      <c r="BL136" s="174">
        <v>0</v>
      </c>
      <c r="BM136" s="174"/>
      <c r="BN136" s="174"/>
      <c r="BO136" s="174"/>
      <c r="BP136" s="174"/>
      <c r="BQ136"/>
      <c r="BR136"/>
      <c r="BS136" s="207"/>
      <c r="BT136" s="115"/>
      <c r="BU136" s="208">
        <v>0</v>
      </c>
      <c r="BW136" s="208">
        <v>0</v>
      </c>
      <c r="BX136" s="207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 s="228"/>
      <c r="CW136" s="107">
        <f t="shared" si="114"/>
        <v>0</v>
      </c>
      <c r="CX136" s="107">
        <f t="shared" si="115"/>
        <v>0</v>
      </c>
      <c r="CY136" s="107">
        <f t="shared" si="116"/>
        <v>0</v>
      </c>
      <c r="CZ136" s="107">
        <f t="shared" si="117"/>
        <v>0</v>
      </c>
      <c r="DA136" s="107">
        <f t="shared" si="118"/>
        <v>0</v>
      </c>
      <c r="DB136" s="107">
        <f t="shared" si="119"/>
        <v>0</v>
      </c>
      <c r="DC136" s="107">
        <f t="shared" si="78"/>
        <v>0</v>
      </c>
      <c r="DD136" s="107">
        <f t="shared" si="65"/>
        <v>0</v>
      </c>
      <c r="DE136" s="107">
        <f t="shared" ref="DE136:DE149" si="124">DD136+BQ136*AW136/100</f>
        <v>0</v>
      </c>
      <c r="DF136" s="107">
        <f t="shared" si="66"/>
        <v>0</v>
      </c>
      <c r="DG136" s="107">
        <f t="shared" si="67"/>
        <v>0</v>
      </c>
      <c r="DH136" s="228">
        <f t="shared" si="68"/>
        <v>0</v>
      </c>
      <c r="DI136" s="228"/>
      <c r="DJ136" s="228"/>
      <c r="DK136" s="228"/>
      <c r="DL136" s="228"/>
      <c r="DM136" s="228"/>
      <c r="DN136" s="228"/>
      <c r="DO136" s="228"/>
      <c r="DQ136" s="1">
        <f t="shared" si="122"/>
        <v>0</v>
      </c>
      <c r="DR136" s="1">
        <f t="shared" si="120"/>
        <v>0</v>
      </c>
      <c r="DS136" s="1">
        <f t="shared" si="79"/>
        <v>0</v>
      </c>
      <c r="DT136" s="1">
        <f t="shared" si="80"/>
        <v>0</v>
      </c>
      <c r="DV136" s="236"/>
      <c r="DW136" s="237">
        <f t="shared" si="123"/>
        <v>64000</v>
      </c>
      <c r="DX136" s="238">
        <v>32</v>
      </c>
      <c r="EA136" s="243"/>
      <c r="EB136" s="240">
        <f t="shared" si="108"/>
        <v>0</v>
      </c>
      <c r="EG136" s="400"/>
      <c r="EH136" s="210"/>
      <c r="EM136" s="177"/>
      <c r="EN136" s="214"/>
      <c r="EP136" s="208"/>
      <c r="ER136" s="208"/>
      <c r="EV136" s="208"/>
      <c r="EW136" s="241"/>
      <c r="EX136" s="241"/>
      <c r="EY136" s="208"/>
      <c r="EZ136" s="115"/>
      <c r="FI136" s="217"/>
      <c r="FM136" s="242" t="e">
        <f t="shared" si="73"/>
        <v>#DIV/0!</v>
      </c>
      <c r="FN136" s="242" t="e">
        <f t="shared" si="74"/>
        <v>#DIV/0!</v>
      </c>
      <c r="FO136" s="243" t="e">
        <f t="shared" si="75"/>
        <v>#DIV/0!</v>
      </c>
      <c r="FP136" s="243" t="e">
        <f t="shared" si="76"/>
        <v>#DIV/0!</v>
      </c>
      <c r="FQ136" s="244" t="e">
        <f t="shared" si="77"/>
        <v>#DIV/0!</v>
      </c>
      <c r="FR136" s="115"/>
      <c r="FS136" s="115"/>
      <c r="FT136" s="115"/>
      <c r="FU136" s="115"/>
      <c r="FV136" s="115"/>
      <c r="FW136" s="115"/>
      <c r="FX136" s="115"/>
      <c r="FY136" s="115"/>
      <c r="FZ136" s="115"/>
      <c r="GA136" s="115"/>
      <c r="GB136" s="115"/>
      <c r="GC136" s="115"/>
      <c r="GD136" s="115"/>
      <c r="GE136" s="115"/>
      <c r="GF136" s="115"/>
      <c r="GG136" s="115"/>
      <c r="GH136" s="115"/>
      <c r="GI136" s="115"/>
      <c r="GJ136" s="115"/>
      <c r="GK136" s="115"/>
      <c r="GL136" s="115"/>
      <c r="GM136" s="115"/>
      <c r="GN136" s="115"/>
      <c r="GO136" s="115"/>
      <c r="GP136" s="115"/>
      <c r="GQ136" s="115"/>
      <c r="GR136" s="115"/>
      <c r="GS136" s="115"/>
      <c r="GT136" s="115"/>
      <c r="GU136" s="115"/>
      <c r="GV136" s="115"/>
    </row>
    <row r="137" spans="1:204" ht="14" x14ac:dyDescent="0.15">
      <c r="B137" s="147" t="s">
        <v>464</v>
      </c>
      <c r="D137" s="203"/>
      <c r="E137" s="203"/>
      <c r="F137" s="203"/>
      <c r="G137" s="1"/>
      <c r="H137" s="1"/>
      <c r="I137" s="116"/>
      <c r="J137" s="115"/>
      <c r="K137" s="115"/>
      <c r="AH137" s="116"/>
      <c r="AI137" s="116"/>
      <c r="AJ137" s="116"/>
      <c r="AK137" s="116"/>
      <c r="AL137" s="1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BB137" s="172"/>
      <c r="BC137" s="172"/>
      <c r="BD137" s="172"/>
      <c r="BE137" s="172"/>
      <c r="BF137" s="171"/>
      <c r="BG137" s="172"/>
      <c r="BH137" s="172"/>
      <c r="BI137" s="172"/>
      <c r="BJ137" s="172"/>
      <c r="BK137" s="172"/>
      <c r="BL137" s="172"/>
      <c r="BM137" s="172"/>
      <c r="BN137" s="172"/>
      <c r="BO137" s="172"/>
      <c r="BP137" s="172"/>
      <c r="BS137" s="116"/>
      <c r="BT137" s="115"/>
      <c r="BU137" s="115"/>
      <c r="BV137" s="1"/>
      <c r="BW137" s="115"/>
      <c r="BX137" s="116"/>
      <c r="CV137" s="228"/>
      <c r="CW137" s="107">
        <f t="shared" si="114"/>
        <v>0</v>
      </c>
      <c r="CX137" s="107">
        <f t="shared" si="115"/>
        <v>0</v>
      </c>
      <c r="CY137" s="107">
        <f t="shared" si="116"/>
        <v>0</v>
      </c>
      <c r="CZ137" s="107">
        <f t="shared" si="117"/>
        <v>0</v>
      </c>
      <c r="DA137" s="107">
        <f t="shared" si="118"/>
        <v>0</v>
      </c>
      <c r="DB137" s="107">
        <f t="shared" si="119"/>
        <v>0</v>
      </c>
      <c r="DC137" s="107">
        <f t="shared" si="78"/>
        <v>0</v>
      </c>
      <c r="DD137" s="107">
        <f t="shared" ref="DD137:DD187" si="125">AL137*BF137/100</f>
        <v>0</v>
      </c>
      <c r="DE137" s="107">
        <f t="shared" si="124"/>
        <v>0</v>
      </c>
      <c r="DF137" s="107">
        <f t="shared" ref="DF137:DF187" si="126">AM137*BG137/100</f>
        <v>0</v>
      </c>
      <c r="DG137" s="107">
        <f t="shared" ref="DG137:DG187" si="127">AN137*BH137/100</f>
        <v>0</v>
      </c>
      <c r="DH137" s="228">
        <f t="shared" ref="DH137:DH171" si="128">AO137*BI137/100</f>
        <v>0</v>
      </c>
      <c r="DI137" s="228"/>
      <c r="DJ137" s="228"/>
      <c r="DK137" s="228"/>
      <c r="DL137" s="228"/>
      <c r="DM137" s="228"/>
      <c r="DN137" s="228"/>
      <c r="DO137" s="228"/>
      <c r="DQ137" s="1">
        <f t="shared" si="122"/>
        <v>0</v>
      </c>
      <c r="DR137" s="1">
        <f t="shared" si="120"/>
        <v>0</v>
      </c>
      <c r="DS137" s="1">
        <f t="shared" si="79"/>
        <v>0</v>
      </c>
      <c r="DT137" s="1">
        <f t="shared" si="80"/>
        <v>0</v>
      </c>
      <c r="DW137" s="237">
        <v>4000</v>
      </c>
      <c r="DX137" s="238">
        <v>2.2000000000000002</v>
      </c>
      <c r="DY137" s="119"/>
      <c r="DZ137" s="119"/>
      <c r="EA137" s="239"/>
      <c r="EB137" s="240">
        <f t="shared" si="108"/>
        <v>0</v>
      </c>
      <c r="EC137" s="115"/>
      <c r="ED137" s="115"/>
      <c r="EE137" s="115"/>
      <c r="EF137" s="115"/>
      <c r="EG137" s="399"/>
      <c r="EH137" s="115"/>
      <c r="EI137" s="178" t="str">
        <f t="shared" ref="EI137:EI148" si="129">IF(AR137="","",AR137*BL137)</f>
        <v/>
      </c>
      <c r="EJ137" s="115"/>
      <c r="EK137" s="115"/>
      <c r="EL137" s="115"/>
      <c r="EM137" s="115"/>
      <c r="EN137" s="115">
        <v>0.56999999999999995</v>
      </c>
      <c r="EO137" s="115"/>
      <c r="EP137" s="115"/>
      <c r="EQ137" s="115"/>
      <c r="ER137" s="115"/>
      <c r="ES137" s="115"/>
      <c r="ET137" s="115"/>
      <c r="EU137" s="115"/>
      <c r="EV137" s="115"/>
      <c r="EW137" s="115"/>
      <c r="EX137" s="115"/>
      <c r="EY137" s="115"/>
      <c r="EZ137" s="115"/>
      <c r="FA137" s="115"/>
      <c r="FB137" s="115"/>
      <c r="FC137" s="115"/>
      <c r="FD137" s="115"/>
      <c r="FE137" s="115"/>
      <c r="FF137" s="115"/>
      <c r="FG137" s="115"/>
      <c r="FH137" s="115"/>
      <c r="FI137" s="115"/>
      <c r="FJ137" s="115"/>
      <c r="FK137" s="115"/>
      <c r="FL137" s="115"/>
      <c r="FM137" s="242" t="e">
        <f t="shared" si="73"/>
        <v>#DIV/0!</v>
      </c>
      <c r="FN137" s="242" t="e">
        <f t="shared" si="74"/>
        <v>#DIV/0!</v>
      </c>
      <c r="FO137" s="243" t="e">
        <f t="shared" si="75"/>
        <v>#DIV/0!</v>
      </c>
      <c r="FP137" s="243" t="e">
        <f t="shared" si="76"/>
        <v>#DIV/0!</v>
      </c>
      <c r="FQ137" s="244" t="e">
        <f t="shared" si="77"/>
        <v>#DIV/0!</v>
      </c>
    </row>
    <row r="138" spans="1:204" ht="14" x14ac:dyDescent="0.15">
      <c r="B138" s="90" t="s">
        <v>369</v>
      </c>
      <c r="D138" s="119"/>
      <c r="E138" s="119"/>
      <c r="F138" s="119"/>
      <c r="G138" s="1"/>
      <c r="H138" s="1"/>
      <c r="I138" s="116"/>
      <c r="J138" s="115"/>
      <c r="K138" s="115">
        <v>1</v>
      </c>
      <c r="AH138" s="116"/>
      <c r="AI138" s="116"/>
      <c r="AJ138" s="116">
        <v>7.25</v>
      </c>
      <c r="AK138" s="116">
        <v>5.2</v>
      </c>
      <c r="AL138" s="1"/>
      <c r="AM138" s="116">
        <v>4.3</v>
      </c>
      <c r="AN138" s="116"/>
      <c r="AO138" s="116"/>
      <c r="AP138" s="116"/>
      <c r="AQ138" s="116"/>
      <c r="AR138" s="116"/>
      <c r="AS138" s="116"/>
      <c r="AT138" s="116"/>
      <c r="AU138" s="116"/>
      <c r="AV138" s="116"/>
      <c r="BB138" s="172"/>
      <c r="BC138" s="172"/>
      <c r="BD138" s="171">
        <v>100</v>
      </c>
      <c r="BE138" s="171">
        <v>100</v>
      </c>
      <c r="BF138" s="171"/>
      <c r="BG138" s="171">
        <v>100</v>
      </c>
      <c r="BH138" s="172"/>
      <c r="BI138" s="172"/>
      <c r="BJ138" s="172"/>
      <c r="BK138" s="172"/>
      <c r="BL138" s="171">
        <v>100</v>
      </c>
      <c r="BM138" s="171"/>
      <c r="BN138" s="171"/>
      <c r="BO138" s="171"/>
      <c r="BP138" s="171"/>
      <c r="BS138" s="116">
        <v>17</v>
      </c>
      <c r="BT138" s="115">
        <f>11*0.6</f>
        <v>6.6</v>
      </c>
      <c r="BU138" s="115"/>
      <c r="BV138" s="1"/>
      <c r="BW138" s="115">
        <f>11*0.4</f>
        <v>4.4000000000000004</v>
      </c>
      <c r="BX138" s="116">
        <v>6.6</v>
      </c>
      <c r="CB138">
        <v>82.8</v>
      </c>
      <c r="CC138">
        <v>88.3</v>
      </c>
      <c r="CD138">
        <v>64</v>
      </c>
      <c r="CE138">
        <v>71</v>
      </c>
      <c r="CV138" s="228"/>
      <c r="CW138" s="107">
        <f t="shared" si="114"/>
        <v>0</v>
      </c>
      <c r="CX138" s="107">
        <f t="shared" si="115"/>
        <v>0</v>
      </c>
      <c r="CY138" s="107">
        <f t="shared" si="116"/>
        <v>0</v>
      </c>
      <c r="CZ138" s="107">
        <f t="shared" si="117"/>
        <v>0</v>
      </c>
      <c r="DA138" s="107">
        <f t="shared" si="118"/>
        <v>7.25</v>
      </c>
      <c r="DB138" s="107">
        <f t="shared" si="119"/>
        <v>5.2</v>
      </c>
      <c r="DC138" s="107">
        <f t="shared" si="78"/>
        <v>5.2</v>
      </c>
      <c r="DD138" s="107">
        <f t="shared" si="125"/>
        <v>0</v>
      </c>
      <c r="DE138" s="107">
        <f t="shared" si="124"/>
        <v>0</v>
      </c>
      <c r="DF138" s="107">
        <f t="shared" si="126"/>
        <v>4.3</v>
      </c>
      <c r="DG138" s="107">
        <f t="shared" si="127"/>
        <v>0</v>
      </c>
      <c r="DH138" s="228">
        <f t="shared" si="128"/>
        <v>0</v>
      </c>
      <c r="DI138" s="228"/>
      <c r="DJ138" s="228"/>
      <c r="DK138" s="228"/>
      <c r="DL138" s="228"/>
      <c r="DM138" s="228"/>
      <c r="DN138" s="228"/>
      <c r="DO138" s="228"/>
      <c r="DQ138" s="1">
        <f t="shared" si="122"/>
        <v>5.4647999999999994</v>
      </c>
      <c r="DR138" s="1">
        <f t="shared" si="120"/>
        <v>5.8277999999999999</v>
      </c>
      <c r="DS138" s="1">
        <f t="shared" si="79"/>
        <v>10.88</v>
      </c>
      <c r="DT138" s="1">
        <f t="shared" si="80"/>
        <v>12.07</v>
      </c>
      <c r="DW138" s="237">
        <f t="shared" ref="DW138:DW147" si="130">DX138*2000</f>
        <v>720</v>
      </c>
      <c r="DX138" s="238">
        <v>0.36</v>
      </c>
      <c r="DY138" s="119"/>
      <c r="DZ138" s="119"/>
      <c r="EA138" s="239">
        <v>1</v>
      </c>
      <c r="EB138" s="240">
        <f t="shared" ref="EB138:EB169" si="131">BX138*EA138</f>
        <v>6.6</v>
      </c>
      <c r="EC138" s="115"/>
      <c r="ED138" s="115"/>
      <c r="EE138" s="245">
        <v>20000</v>
      </c>
      <c r="EF138" s="245"/>
      <c r="EG138" s="399"/>
      <c r="EH138" s="115"/>
      <c r="EI138" s="178" t="str">
        <f t="shared" si="129"/>
        <v/>
      </c>
      <c r="EJ138" s="115"/>
      <c r="EK138" s="115">
        <f>EK143*3/65</f>
        <v>3.388292307692308E-3</v>
      </c>
      <c r="EL138" s="115">
        <f t="shared" ref="EL138:EP138" si="132">EL143*3/65</f>
        <v>3.388292307692308E-3</v>
      </c>
      <c r="EM138" s="115">
        <f t="shared" si="132"/>
        <v>1.0175076923076923E-3</v>
      </c>
      <c r="EN138" s="115">
        <f t="shared" si="132"/>
        <v>5.0830227041680784E-4</v>
      </c>
      <c r="EO138" s="115">
        <f t="shared" si="132"/>
        <v>9.1494408675025422E-6</v>
      </c>
      <c r="EP138" s="115">
        <f t="shared" si="132"/>
        <v>9.1494408675025422E-6</v>
      </c>
      <c r="EQ138" s="115"/>
      <c r="ER138" s="115"/>
      <c r="ES138" s="115">
        <f>ES142*5/65</f>
        <v>57692.307692307695</v>
      </c>
      <c r="ET138" s="115">
        <f t="shared" ref="ET138:EY138" si="133">ET142*5/65</f>
        <v>23076.923076923078</v>
      </c>
      <c r="EU138" s="115">
        <f t="shared" si="133"/>
        <v>615.38461538461536</v>
      </c>
      <c r="EV138" s="115">
        <f t="shared" si="133"/>
        <v>46.153846153846153</v>
      </c>
      <c r="EW138" s="115">
        <f t="shared" si="133"/>
        <v>0.46153846153846156</v>
      </c>
      <c r="EX138" s="115">
        <f t="shared" si="133"/>
        <v>692.30769230769226</v>
      </c>
      <c r="EY138" s="115">
        <f t="shared" si="133"/>
        <v>384.61538461538464</v>
      </c>
      <c r="EZ138" s="115">
        <f>EZ91*5/65</f>
        <v>0</v>
      </c>
      <c r="FA138" s="115"/>
      <c r="FB138" s="115"/>
      <c r="FC138" s="115"/>
      <c r="FD138" s="115"/>
      <c r="FE138" s="115"/>
      <c r="FF138" s="115"/>
      <c r="FG138" s="115"/>
      <c r="FH138" s="115"/>
      <c r="FI138" s="115"/>
      <c r="FJ138" s="115"/>
      <c r="FK138" s="115"/>
      <c r="FL138" s="115"/>
      <c r="FM138" s="242" t="e">
        <f t="shared" ref="FM138:FM201" si="134">DH138/CZ138</f>
        <v>#DIV/0!</v>
      </c>
      <c r="FN138" s="242" t="e">
        <f t="shared" ref="FN138:FN201" si="135">CY138/CZ138</f>
        <v>#DIV/0!</v>
      </c>
      <c r="FO138" s="243" t="e">
        <f t="shared" ref="FO138:FO201" si="136">DH138/CY138</f>
        <v>#DIV/0!</v>
      </c>
      <c r="FP138" s="243" t="e">
        <f t="shared" ref="FP138:FP201" si="137">DG138/CZ138</f>
        <v>#DIV/0!</v>
      </c>
      <c r="FQ138" s="244" t="e">
        <f t="shared" ref="FQ138:FQ201" si="138">CZ138/I138</f>
        <v>#DIV/0!</v>
      </c>
    </row>
    <row r="139" spans="1:204" ht="12.75" customHeight="1" x14ac:dyDescent="0.15">
      <c r="B139" s="93" t="s">
        <v>370</v>
      </c>
      <c r="D139" s="210"/>
      <c r="E139" s="210"/>
      <c r="F139" s="210"/>
      <c r="G139" s="1"/>
      <c r="H139" s="1"/>
      <c r="I139" s="207"/>
      <c r="J139" s="208">
        <v>0</v>
      </c>
      <c r="K139" s="115">
        <v>1</v>
      </c>
      <c r="AH139" s="165">
        <v>0</v>
      </c>
      <c r="AI139" s="165">
        <v>0</v>
      </c>
      <c r="AJ139" s="207">
        <v>5.24</v>
      </c>
      <c r="AK139" s="165">
        <v>0</v>
      </c>
      <c r="AL139" s="1"/>
      <c r="AM139" s="165">
        <v>0</v>
      </c>
      <c r="AN139" s="165">
        <v>0</v>
      </c>
      <c r="AO139" s="165">
        <v>0</v>
      </c>
      <c r="AP139" s="165"/>
      <c r="AQ139" s="165"/>
      <c r="AR139" s="165">
        <v>0</v>
      </c>
      <c r="AS139" s="165"/>
      <c r="AT139" s="165"/>
      <c r="AU139" s="165"/>
      <c r="AV139" s="165"/>
      <c r="BB139" s="174">
        <v>0</v>
      </c>
      <c r="BC139" s="174">
        <v>0</v>
      </c>
      <c r="BD139" s="171">
        <v>100</v>
      </c>
      <c r="BE139" s="174">
        <v>0</v>
      </c>
      <c r="BF139" s="171"/>
      <c r="BG139" s="174">
        <v>0</v>
      </c>
      <c r="BH139" s="174">
        <v>0</v>
      </c>
      <c r="BI139" s="174">
        <v>0</v>
      </c>
      <c r="BJ139" s="174"/>
      <c r="BK139" s="174"/>
      <c r="BL139" s="174">
        <v>0</v>
      </c>
      <c r="BM139" s="174"/>
      <c r="BN139" s="174"/>
      <c r="BO139" s="174"/>
      <c r="BP139" s="174"/>
      <c r="BS139" s="225">
        <v>21.5</v>
      </c>
      <c r="BT139" s="115">
        <f>18*0.6</f>
        <v>10.799999999999999</v>
      </c>
      <c r="BU139" s="115"/>
      <c r="BV139" s="1"/>
      <c r="BW139" s="115">
        <f>18*0.4</f>
        <v>7.2</v>
      </c>
      <c r="BX139" s="225">
        <v>4.8</v>
      </c>
      <c r="CB139">
        <v>82.8</v>
      </c>
      <c r="CC139">
        <v>88.3</v>
      </c>
      <c r="CD139">
        <v>64</v>
      </c>
      <c r="CE139">
        <v>71</v>
      </c>
      <c r="CV139" s="228"/>
      <c r="CW139" s="107">
        <f t="shared" si="114"/>
        <v>0</v>
      </c>
      <c r="CX139" s="107">
        <f t="shared" si="115"/>
        <v>0</v>
      </c>
      <c r="CY139" s="107">
        <f t="shared" si="116"/>
        <v>0</v>
      </c>
      <c r="CZ139" s="107">
        <f t="shared" si="117"/>
        <v>0</v>
      </c>
      <c r="DA139" s="107">
        <f t="shared" si="118"/>
        <v>5.24</v>
      </c>
      <c r="DB139" s="107">
        <f t="shared" si="119"/>
        <v>0</v>
      </c>
      <c r="DC139" s="107">
        <f t="shared" ref="DC139:DC187" si="139">(AK139*BE139+BL139*AR139)/100</f>
        <v>0</v>
      </c>
      <c r="DD139" s="107">
        <f t="shared" si="125"/>
        <v>0</v>
      </c>
      <c r="DE139" s="107">
        <f t="shared" si="124"/>
        <v>0</v>
      </c>
      <c r="DF139" s="107">
        <f t="shared" si="126"/>
        <v>0</v>
      </c>
      <c r="DG139" s="107">
        <f t="shared" si="127"/>
        <v>0</v>
      </c>
      <c r="DH139" s="228">
        <f t="shared" si="128"/>
        <v>0</v>
      </c>
      <c r="DI139" s="228"/>
      <c r="DJ139" s="228"/>
      <c r="DK139" s="228"/>
      <c r="DL139" s="228"/>
      <c r="DM139" s="228"/>
      <c r="DN139" s="228"/>
      <c r="DO139" s="228"/>
      <c r="DQ139" s="1">
        <f t="shared" si="122"/>
        <v>3.9744000000000002</v>
      </c>
      <c r="DR139" s="1">
        <f t="shared" si="120"/>
        <v>4.2383999999999995</v>
      </c>
      <c r="DS139" s="1">
        <f t="shared" ref="DS139:DS184" si="140">BS139*CD139/100</f>
        <v>13.76</v>
      </c>
      <c r="DT139" s="1">
        <f t="shared" ref="DT139:DT184" si="141">BS139*CE139/100</f>
        <v>15.265000000000001</v>
      </c>
      <c r="DV139" s="236"/>
      <c r="DW139" s="237">
        <f t="shared" si="130"/>
        <v>440</v>
      </c>
      <c r="DX139" s="238">
        <v>0.22</v>
      </c>
      <c r="DY139" s="210"/>
      <c r="DZ139" s="210"/>
      <c r="EA139" s="239">
        <v>1</v>
      </c>
      <c r="EB139" s="240">
        <f t="shared" si="131"/>
        <v>4.8</v>
      </c>
      <c r="EC139" s="208">
        <v>0</v>
      </c>
      <c r="ED139" s="208">
        <v>0</v>
      </c>
      <c r="EE139" s="115">
        <f>EE142*3/50</f>
        <v>13605</v>
      </c>
      <c r="EF139" s="115"/>
      <c r="EG139" s="399"/>
      <c r="EH139" s="246">
        <f>125*K139/10</f>
        <v>12.5</v>
      </c>
      <c r="EI139" s="178">
        <f t="shared" si="129"/>
        <v>0</v>
      </c>
      <c r="EJ139" s="115"/>
      <c r="EK139" s="115">
        <f>EK143*3/50</f>
        <v>4.4047800000000005E-3</v>
      </c>
      <c r="EL139" s="115">
        <f t="shared" ref="EL139:EP139" si="142">EL143*3/50</f>
        <v>4.4047800000000005E-3</v>
      </c>
      <c r="EM139" s="115">
        <f t="shared" si="142"/>
        <v>1.3227600000000001E-3</v>
      </c>
      <c r="EN139" s="115">
        <f t="shared" si="142"/>
        <v>6.6079295154185019E-4</v>
      </c>
      <c r="EO139" s="115">
        <f t="shared" si="142"/>
        <v>1.1894273127753304E-5</v>
      </c>
      <c r="EP139" s="115">
        <f t="shared" si="142"/>
        <v>1.1894273127753304E-5</v>
      </c>
      <c r="EQ139" s="115"/>
      <c r="ER139" s="115"/>
      <c r="ES139" s="115">
        <f>ES142*3/50</f>
        <v>45000</v>
      </c>
      <c r="ET139" s="115">
        <f t="shared" ref="ET139:EZ139" si="143">ET142*3/50</f>
        <v>18000</v>
      </c>
      <c r="EU139" s="115">
        <f t="shared" si="143"/>
        <v>480</v>
      </c>
      <c r="EV139" s="115">
        <f t="shared" si="143"/>
        <v>36</v>
      </c>
      <c r="EW139" s="115">
        <f t="shared" si="143"/>
        <v>0.36</v>
      </c>
      <c r="EX139" s="115">
        <f t="shared" si="143"/>
        <v>540</v>
      </c>
      <c r="EY139" s="115">
        <f t="shared" si="143"/>
        <v>300</v>
      </c>
      <c r="EZ139" s="115">
        <f t="shared" si="143"/>
        <v>90</v>
      </c>
      <c r="FA139" s="115"/>
      <c r="FB139" s="115"/>
      <c r="FC139" s="115"/>
      <c r="FD139" s="115"/>
      <c r="FE139" s="115"/>
      <c r="FF139" s="115"/>
      <c r="FG139" s="115"/>
      <c r="FH139" s="115"/>
      <c r="FI139" s="115"/>
      <c r="FJ139" s="115"/>
      <c r="FK139" s="115"/>
      <c r="FL139" s="115"/>
      <c r="FM139" s="242" t="e">
        <f t="shared" si="134"/>
        <v>#DIV/0!</v>
      </c>
      <c r="FN139" s="242" t="e">
        <f t="shared" si="135"/>
        <v>#DIV/0!</v>
      </c>
      <c r="FO139" s="243" t="e">
        <f t="shared" si="136"/>
        <v>#DIV/0!</v>
      </c>
      <c r="FP139" s="243" t="e">
        <f t="shared" si="137"/>
        <v>#DIV/0!</v>
      </c>
      <c r="FQ139" s="244" t="e">
        <f t="shared" si="138"/>
        <v>#DIV/0!</v>
      </c>
    </row>
    <row r="140" spans="1:204" ht="12.75" customHeight="1" x14ac:dyDescent="0.15">
      <c r="B140" s="31" t="s">
        <v>40</v>
      </c>
      <c r="D140" s="210"/>
      <c r="E140" s="210"/>
      <c r="F140" s="210"/>
      <c r="G140" s="1"/>
      <c r="H140" s="1"/>
      <c r="I140" s="207"/>
      <c r="J140" s="208">
        <v>0</v>
      </c>
      <c r="K140" s="115">
        <v>1</v>
      </c>
      <c r="AH140" s="165">
        <v>0</v>
      </c>
      <c r="AI140" s="165">
        <v>0</v>
      </c>
      <c r="AJ140" s="207">
        <v>3.14</v>
      </c>
      <c r="AK140" s="165">
        <v>0</v>
      </c>
      <c r="AL140" s="1"/>
      <c r="AM140" s="165">
        <v>0</v>
      </c>
      <c r="AN140" s="165">
        <v>0</v>
      </c>
      <c r="AO140" s="165">
        <v>0</v>
      </c>
      <c r="AP140" s="165"/>
      <c r="AQ140" s="165"/>
      <c r="AR140" s="165">
        <v>0</v>
      </c>
      <c r="AS140" s="165"/>
      <c r="AT140" s="165"/>
      <c r="AU140" s="165"/>
      <c r="AV140" s="165"/>
      <c r="BB140" s="174">
        <v>0</v>
      </c>
      <c r="BC140" s="174">
        <v>0</v>
      </c>
      <c r="BD140" s="171">
        <v>100</v>
      </c>
      <c r="BE140" s="174">
        <v>0</v>
      </c>
      <c r="BF140" s="171"/>
      <c r="BG140" s="174">
        <v>0</v>
      </c>
      <c r="BH140" s="174">
        <v>0</v>
      </c>
      <c r="BI140" s="174">
        <v>0</v>
      </c>
      <c r="BJ140" s="174"/>
      <c r="BK140" s="174"/>
      <c r="BL140" s="174">
        <v>0</v>
      </c>
      <c r="BM140" s="174"/>
      <c r="BN140" s="174"/>
      <c r="BO140" s="174"/>
      <c r="BP140" s="174"/>
      <c r="BS140" s="225">
        <v>19.600000000000001</v>
      </c>
      <c r="BT140" s="115"/>
      <c r="BU140" s="115"/>
      <c r="BV140" s="1"/>
      <c r="BW140" s="115"/>
      <c r="BX140" s="225">
        <v>10</v>
      </c>
      <c r="CB140">
        <v>82.8</v>
      </c>
      <c r="CC140">
        <v>88.3</v>
      </c>
      <c r="CD140">
        <v>64</v>
      </c>
      <c r="CE140">
        <v>71</v>
      </c>
      <c r="CV140" s="228"/>
      <c r="CW140" s="107">
        <f t="shared" si="114"/>
        <v>0</v>
      </c>
      <c r="CX140" s="107">
        <f t="shared" si="115"/>
        <v>0</v>
      </c>
      <c r="CY140" s="107">
        <f t="shared" si="116"/>
        <v>0</v>
      </c>
      <c r="CZ140" s="107">
        <f t="shared" si="117"/>
        <v>0</v>
      </c>
      <c r="DA140" s="107">
        <f t="shared" si="118"/>
        <v>3.14</v>
      </c>
      <c r="DB140" s="107">
        <f t="shared" si="119"/>
        <v>0</v>
      </c>
      <c r="DC140" s="107">
        <f t="shared" si="139"/>
        <v>0</v>
      </c>
      <c r="DD140" s="107">
        <f t="shared" si="125"/>
        <v>0</v>
      </c>
      <c r="DE140" s="107">
        <f t="shared" si="124"/>
        <v>0</v>
      </c>
      <c r="DF140" s="107">
        <f t="shared" si="126"/>
        <v>0</v>
      </c>
      <c r="DG140" s="107">
        <f t="shared" si="127"/>
        <v>0</v>
      </c>
      <c r="DH140" s="228">
        <f t="shared" si="128"/>
        <v>0</v>
      </c>
      <c r="DI140" s="228"/>
      <c r="DJ140" s="228"/>
      <c r="DK140" s="228"/>
      <c r="DL140" s="228"/>
      <c r="DM140" s="228"/>
      <c r="DN140" s="228"/>
      <c r="DO140" s="228"/>
      <c r="DQ140" s="1">
        <f t="shared" si="122"/>
        <v>8.2799999999999994</v>
      </c>
      <c r="DR140" s="1">
        <f t="shared" si="120"/>
        <v>8.83</v>
      </c>
      <c r="DS140" s="1">
        <f t="shared" si="140"/>
        <v>12.544</v>
      </c>
      <c r="DT140" s="1">
        <f t="shared" si="141"/>
        <v>13.916000000000002</v>
      </c>
      <c r="DV140" s="236"/>
      <c r="DW140" s="237">
        <f t="shared" si="130"/>
        <v>400</v>
      </c>
      <c r="DX140" s="238">
        <v>0.2</v>
      </c>
      <c r="DY140" s="210"/>
      <c r="DZ140" s="210"/>
      <c r="EA140" s="239">
        <v>1</v>
      </c>
      <c r="EB140" s="240">
        <f t="shared" si="131"/>
        <v>10</v>
      </c>
      <c r="EC140" s="208">
        <v>0</v>
      </c>
      <c r="ED140" s="208">
        <v>0</v>
      </c>
      <c r="EE140" s="115"/>
      <c r="EF140" s="115"/>
      <c r="EG140" s="399"/>
      <c r="EH140" s="246">
        <f>125*K140/10</f>
        <v>12.5</v>
      </c>
      <c r="EI140" s="178">
        <f t="shared" si="129"/>
        <v>0</v>
      </c>
      <c r="EJ140" s="115"/>
      <c r="EK140" s="115"/>
      <c r="EL140" s="115"/>
      <c r="EM140" s="115"/>
      <c r="EN140" s="115"/>
      <c r="EO140" s="115"/>
      <c r="EP140" s="115"/>
      <c r="EQ140" s="115"/>
      <c r="ER140" s="115"/>
      <c r="ES140" s="115"/>
      <c r="ET140" s="115"/>
      <c r="EU140" s="115"/>
      <c r="EV140" s="115"/>
      <c r="EW140" s="115"/>
      <c r="EX140" s="115"/>
      <c r="EY140" s="115"/>
      <c r="EZ140" s="115"/>
      <c r="FA140" s="115"/>
      <c r="FB140" s="115"/>
      <c r="FC140" s="115"/>
      <c r="FD140" s="115"/>
      <c r="FE140" s="115"/>
      <c r="FF140" s="115"/>
      <c r="FG140" s="115"/>
      <c r="FH140" s="115"/>
      <c r="FI140" s="115"/>
      <c r="FJ140" s="115"/>
      <c r="FK140" s="115"/>
      <c r="FL140" s="115"/>
      <c r="FM140" s="242" t="e">
        <f t="shared" si="134"/>
        <v>#DIV/0!</v>
      </c>
      <c r="FN140" s="242" t="e">
        <f t="shared" si="135"/>
        <v>#DIV/0!</v>
      </c>
      <c r="FO140" s="243" t="e">
        <f t="shared" si="136"/>
        <v>#DIV/0!</v>
      </c>
      <c r="FP140" s="243" t="e">
        <f t="shared" si="137"/>
        <v>#DIV/0!</v>
      </c>
      <c r="FQ140" s="244" t="e">
        <f t="shared" si="138"/>
        <v>#DIV/0!</v>
      </c>
    </row>
    <row r="141" spans="1:204" ht="14" x14ac:dyDescent="0.15">
      <c r="B141" s="90" t="s">
        <v>371</v>
      </c>
      <c r="D141" s="119"/>
      <c r="E141" s="119"/>
      <c r="F141" s="119"/>
      <c r="G141" s="1"/>
      <c r="H141" s="1"/>
      <c r="I141" s="116"/>
      <c r="J141" s="115"/>
      <c r="K141" s="115">
        <v>1</v>
      </c>
      <c r="AH141" s="116"/>
      <c r="AI141" s="116"/>
      <c r="AJ141" s="116"/>
      <c r="AK141" s="116"/>
      <c r="AL141" s="1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BB141" s="172"/>
      <c r="BC141" s="172"/>
      <c r="BD141" s="172"/>
      <c r="BE141" s="172"/>
      <c r="BF141" s="171"/>
      <c r="BG141" s="172"/>
      <c r="BH141" s="172"/>
      <c r="BI141" s="172"/>
      <c r="BJ141" s="172"/>
      <c r="BK141" s="172"/>
      <c r="BL141" s="172"/>
      <c r="BM141" s="172"/>
      <c r="BN141" s="172"/>
      <c r="BO141" s="172"/>
      <c r="BP141" s="172"/>
      <c r="BS141" s="116">
        <v>21</v>
      </c>
      <c r="BT141" s="115">
        <f>14*0.6</f>
        <v>8.4</v>
      </c>
      <c r="BU141" s="115"/>
      <c r="BV141" s="1"/>
      <c r="BW141" s="115">
        <f>14*0.4</f>
        <v>5.6000000000000005</v>
      </c>
      <c r="BX141" s="116">
        <v>9.1999999999999993</v>
      </c>
      <c r="CB141">
        <v>82.8</v>
      </c>
      <c r="CC141">
        <v>88.3</v>
      </c>
      <c r="CD141">
        <v>64</v>
      </c>
      <c r="CE141">
        <v>71</v>
      </c>
      <c r="CV141" s="228"/>
      <c r="CW141" s="107">
        <f t="shared" si="114"/>
        <v>0</v>
      </c>
      <c r="CX141" s="107">
        <f t="shared" si="115"/>
        <v>0</v>
      </c>
      <c r="CY141" s="107">
        <f t="shared" si="116"/>
        <v>0</v>
      </c>
      <c r="CZ141" s="107">
        <f t="shared" si="117"/>
        <v>0</v>
      </c>
      <c r="DA141" s="107">
        <f t="shared" si="118"/>
        <v>0</v>
      </c>
      <c r="DB141" s="107">
        <f t="shared" si="119"/>
        <v>0</v>
      </c>
      <c r="DC141" s="107">
        <f t="shared" si="139"/>
        <v>0</v>
      </c>
      <c r="DD141" s="107">
        <f t="shared" si="125"/>
        <v>0</v>
      </c>
      <c r="DE141" s="107">
        <f t="shared" si="124"/>
        <v>0</v>
      </c>
      <c r="DF141" s="107">
        <f t="shared" si="126"/>
        <v>0</v>
      </c>
      <c r="DG141" s="107">
        <f t="shared" si="127"/>
        <v>0</v>
      </c>
      <c r="DH141" s="228">
        <f t="shared" si="128"/>
        <v>0</v>
      </c>
      <c r="DI141" s="228"/>
      <c r="DJ141" s="228"/>
      <c r="DK141" s="228"/>
      <c r="DL141" s="228"/>
      <c r="DM141" s="228"/>
      <c r="DN141" s="228"/>
      <c r="DO141" s="228"/>
      <c r="DQ141" s="1">
        <f t="shared" si="122"/>
        <v>7.6175999999999986</v>
      </c>
      <c r="DR141" s="1">
        <f t="shared" si="120"/>
        <v>8.1235999999999997</v>
      </c>
      <c r="DS141" s="1">
        <f t="shared" si="140"/>
        <v>13.44</v>
      </c>
      <c r="DT141" s="1">
        <f t="shared" si="141"/>
        <v>14.91</v>
      </c>
      <c r="DW141" s="237">
        <f t="shared" si="130"/>
        <v>440</v>
      </c>
      <c r="DX141" s="238">
        <v>0.22</v>
      </c>
      <c r="DY141" s="119"/>
      <c r="DZ141" s="119"/>
      <c r="EA141" s="239">
        <v>1</v>
      </c>
      <c r="EB141" s="240">
        <f t="shared" si="131"/>
        <v>9.1999999999999993</v>
      </c>
      <c r="EC141" s="115"/>
      <c r="ED141" s="115"/>
      <c r="EE141" s="115">
        <f>EE142*5/75</f>
        <v>15116.666666666666</v>
      </c>
      <c r="EF141" s="115"/>
      <c r="EG141" s="399"/>
      <c r="EH141" s="115"/>
      <c r="EI141" s="178" t="str">
        <f t="shared" si="129"/>
        <v/>
      </c>
      <c r="EJ141" s="115"/>
      <c r="EK141" s="115">
        <f>EK143*3/75</f>
        <v>2.9365200000000002E-3</v>
      </c>
      <c r="EL141" s="115">
        <f t="shared" ref="EL141:EP141" si="144">EL143*3/75</f>
        <v>2.9365200000000002E-3</v>
      </c>
      <c r="EM141" s="115">
        <f t="shared" si="144"/>
        <v>8.8184000000000005E-4</v>
      </c>
      <c r="EN141" s="115">
        <f t="shared" si="144"/>
        <v>4.405286343612335E-4</v>
      </c>
      <c r="EO141" s="115">
        <f t="shared" si="144"/>
        <v>7.9295154185022032E-6</v>
      </c>
      <c r="EP141" s="115">
        <f t="shared" si="144"/>
        <v>7.9295154185022032E-6</v>
      </c>
      <c r="EQ141" s="115">
        <f>EQ144*5/75</f>
        <v>5.2863436123348007E-6</v>
      </c>
      <c r="ER141" s="115"/>
      <c r="ES141" s="115">
        <f>(ES145*5+ES144*5)/75</f>
        <v>100000</v>
      </c>
      <c r="ET141" s="115">
        <f t="shared" ref="ET141:EZ141" si="145">ET145*5/75</f>
        <v>20000</v>
      </c>
      <c r="EU141" s="115">
        <f t="shared" si="145"/>
        <v>533.33333333333337</v>
      </c>
      <c r="EV141" s="115">
        <f t="shared" si="145"/>
        <v>40</v>
      </c>
      <c r="EW141" s="115">
        <f t="shared" si="145"/>
        <v>0.4</v>
      </c>
      <c r="EX141" s="115">
        <f t="shared" si="145"/>
        <v>600</v>
      </c>
      <c r="EY141" s="115">
        <f t="shared" si="145"/>
        <v>333.33333333333331</v>
      </c>
      <c r="EZ141" s="115">
        <f t="shared" si="145"/>
        <v>100</v>
      </c>
      <c r="FA141" s="115">
        <f t="shared" ref="FA141:FE141" si="146">FA144*5/75</f>
        <v>2.6666666666666665</v>
      </c>
      <c r="FB141" s="115">
        <f t="shared" si="146"/>
        <v>26.666666666666668</v>
      </c>
      <c r="FC141" s="115">
        <f t="shared" si="146"/>
        <v>12</v>
      </c>
      <c r="FD141" s="115">
        <f t="shared" si="146"/>
        <v>6666.666666666667</v>
      </c>
      <c r="FE141" s="115">
        <f t="shared" si="146"/>
        <v>600</v>
      </c>
      <c r="FF141" s="115"/>
      <c r="FG141" s="115"/>
      <c r="FH141" s="115"/>
      <c r="FI141" s="115"/>
      <c r="FJ141" s="115"/>
      <c r="FK141" s="115"/>
      <c r="FL141" s="115"/>
      <c r="FM141" s="242" t="e">
        <f t="shared" si="134"/>
        <v>#DIV/0!</v>
      </c>
      <c r="FN141" s="242" t="e">
        <f t="shared" si="135"/>
        <v>#DIV/0!</v>
      </c>
      <c r="FO141" s="243" t="e">
        <f t="shared" si="136"/>
        <v>#DIV/0!</v>
      </c>
      <c r="FP141" s="243" t="e">
        <f t="shared" si="137"/>
        <v>#DIV/0!</v>
      </c>
      <c r="FQ141" s="244" t="e">
        <f t="shared" si="138"/>
        <v>#DIV/0!</v>
      </c>
    </row>
    <row r="142" spans="1:204" ht="12.75" customHeight="1" x14ac:dyDescent="0.15">
      <c r="B142" s="31" t="s">
        <v>27</v>
      </c>
      <c r="D142" s="210"/>
      <c r="E142" s="210"/>
      <c r="F142" s="210"/>
      <c r="G142" s="1"/>
      <c r="H142" s="1"/>
      <c r="I142" s="207"/>
      <c r="J142" s="208"/>
      <c r="K142" s="208">
        <v>0</v>
      </c>
      <c r="AH142" s="165">
        <v>0</v>
      </c>
      <c r="AI142" s="165">
        <v>0</v>
      </c>
      <c r="AJ142" s="165">
        <v>0</v>
      </c>
      <c r="AK142" s="165">
        <v>0</v>
      </c>
      <c r="AL142" s="1"/>
      <c r="AM142" s="165">
        <v>0</v>
      </c>
      <c r="AN142" s="165">
        <v>0</v>
      </c>
      <c r="AO142" s="165">
        <v>0</v>
      </c>
      <c r="AP142" s="165"/>
      <c r="AQ142" s="165"/>
      <c r="AR142" s="165">
        <v>0</v>
      </c>
      <c r="AS142" s="165"/>
      <c r="AT142" s="165"/>
      <c r="AU142" s="165"/>
      <c r="AV142" s="165"/>
      <c r="BB142" s="174">
        <v>0</v>
      </c>
      <c r="BC142" s="174">
        <v>0</v>
      </c>
      <c r="BD142" s="174">
        <v>0</v>
      </c>
      <c r="BE142" s="174">
        <v>0</v>
      </c>
      <c r="BF142" s="171"/>
      <c r="BG142" s="174">
        <v>0</v>
      </c>
      <c r="BH142" s="174">
        <v>0</v>
      </c>
      <c r="BI142" s="174">
        <v>0</v>
      </c>
      <c r="BJ142" s="174"/>
      <c r="BK142" s="174"/>
      <c r="BL142" s="174">
        <v>0</v>
      </c>
      <c r="BM142" s="174"/>
      <c r="BN142" s="174"/>
      <c r="BO142" s="174"/>
      <c r="BP142" s="174"/>
      <c r="BS142" s="207">
        <v>18</v>
      </c>
      <c r="BT142" s="115"/>
      <c r="BU142" s="115"/>
      <c r="BV142" s="1"/>
      <c r="BW142" s="115"/>
      <c r="BX142" s="207"/>
      <c r="CD142">
        <v>64</v>
      </c>
      <c r="CE142">
        <v>71</v>
      </c>
      <c r="CV142" s="228"/>
      <c r="CW142" s="107">
        <f t="shared" si="114"/>
        <v>0</v>
      </c>
      <c r="CX142" s="107">
        <f t="shared" si="115"/>
        <v>0</v>
      </c>
      <c r="CY142" s="107">
        <f t="shared" si="116"/>
        <v>0</v>
      </c>
      <c r="CZ142" s="107">
        <f t="shared" si="117"/>
        <v>0</v>
      </c>
      <c r="DA142" s="107">
        <f t="shared" si="118"/>
        <v>0</v>
      </c>
      <c r="DB142" s="107">
        <f t="shared" si="119"/>
        <v>0</v>
      </c>
      <c r="DC142" s="107">
        <f t="shared" si="139"/>
        <v>0</v>
      </c>
      <c r="DD142" s="107">
        <f t="shared" si="125"/>
        <v>0</v>
      </c>
      <c r="DE142" s="107">
        <f t="shared" si="124"/>
        <v>0</v>
      </c>
      <c r="DF142" s="107">
        <f t="shared" si="126"/>
        <v>0</v>
      </c>
      <c r="DG142" s="107">
        <f t="shared" si="127"/>
        <v>0</v>
      </c>
      <c r="DH142" s="228">
        <f t="shared" si="128"/>
        <v>0</v>
      </c>
      <c r="DI142" s="228"/>
      <c r="DJ142" s="228"/>
      <c r="DK142" s="228"/>
      <c r="DL142" s="228"/>
      <c r="DM142" s="228"/>
      <c r="DN142" s="228"/>
      <c r="DO142" s="228"/>
      <c r="DQ142" s="1">
        <f t="shared" si="122"/>
        <v>0</v>
      </c>
      <c r="DR142" s="1">
        <f t="shared" si="120"/>
        <v>0</v>
      </c>
      <c r="DS142" s="1">
        <f t="shared" si="140"/>
        <v>11.52</v>
      </c>
      <c r="DT142" s="1">
        <f t="shared" si="141"/>
        <v>12.78</v>
      </c>
      <c r="DV142" s="236"/>
      <c r="DW142" s="237">
        <f t="shared" ref="DW142:DW144" si="147">DX142*2000</f>
        <v>1800</v>
      </c>
      <c r="DX142" s="238">
        <v>0.9</v>
      </c>
      <c r="DY142" s="210"/>
      <c r="DZ142" s="210"/>
      <c r="EA142" s="239"/>
      <c r="EB142" s="240">
        <f t="shared" si="131"/>
        <v>0</v>
      </c>
      <c r="EC142" s="208">
        <v>0</v>
      </c>
      <c r="ED142" s="208">
        <v>0</v>
      </c>
      <c r="EE142" s="115">
        <v>226750</v>
      </c>
      <c r="EF142" s="115"/>
      <c r="EG142" s="399"/>
      <c r="EH142" s="208">
        <v>0</v>
      </c>
      <c r="EI142" s="178">
        <f t="shared" si="129"/>
        <v>0</v>
      </c>
      <c r="EJ142" s="115"/>
      <c r="EK142" s="115"/>
      <c r="EL142" s="115"/>
      <c r="EM142" s="115"/>
      <c r="EN142" s="115"/>
      <c r="EO142" s="115"/>
      <c r="EP142" s="115"/>
      <c r="EQ142" s="115"/>
      <c r="ER142" s="115"/>
      <c r="ES142" s="115">
        <v>750000</v>
      </c>
      <c r="ET142" s="115">
        <v>300000</v>
      </c>
      <c r="EU142" s="115">
        <v>8000</v>
      </c>
      <c r="EV142" s="115">
        <v>600</v>
      </c>
      <c r="EW142" s="115">
        <v>6</v>
      </c>
      <c r="EX142" s="115">
        <v>9000</v>
      </c>
      <c r="EY142" s="115">
        <v>5000</v>
      </c>
      <c r="EZ142" s="115">
        <v>1500</v>
      </c>
      <c r="FA142" s="115"/>
      <c r="FB142" s="115"/>
      <c r="FC142" s="115"/>
      <c r="FD142" s="115"/>
      <c r="FE142" s="115"/>
      <c r="FF142" s="115"/>
      <c r="FG142" s="115"/>
      <c r="FH142" s="115"/>
      <c r="FI142" s="115"/>
      <c r="FJ142" s="115"/>
      <c r="FK142" s="115"/>
      <c r="FL142" s="115"/>
      <c r="FM142" s="242" t="e">
        <f t="shared" si="134"/>
        <v>#DIV/0!</v>
      </c>
      <c r="FN142" s="242" t="e">
        <f t="shared" si="135"/>
        <v>#DIV/0!</v>
      </c>
      <c r="FO142" s="243" t="e">
        <f t="shared" si="136"/>
        <v>#DIV/0!</v>
      </c>
      <c r="FP142" s="243" t="e">
        <f t="shared" si="137"/>
        <v>#DIV/0!</v>
      </c>
      <c r="FQ142" s="244" t="e">
        <f t="shared" si="138"/>
        <v>#DIV/0!</v>
      </c>
    </row>
    <row r="143" spans="1:204" ht="12.75" customHeight="1" x14ac:dyDescent="0.15">
      <c r="B143" s="31" t="s">
        <v>16</v>
      </c>
      <c r="D143" s="210"/>
      <c r="E143" s="210"/>
      <c r="F143" s="210"/>
      <c r="G143" s="1"/>
      <c r="H143" s="1"/>
      <c r="I143" s="207"/>
      <c r="J143" s="208">
        <v>0</v>
      </c>
      <c r="K143" s="208">
        <v>0</v>
      </c>
      <c r="AH143" s="165">
        <v>0</v>
      </c>
      <c r="AI143" s="165">
        <v>0</v>
      </c>
      <c r="AJ143" s="165">
        <v>0</v>
      </c>
      <c r="AK143" s="165">
        <v>0</v>
      </c>
      <c r="AL143" s="1"/>
      <c r="AM143" s="165">
        <v>0</v>
      </c>
      <c r="AN143" s="165">
        <v>0</v>
      </c>
      <c r="AO143" s="165">
        <v>0</v>
      </c>
      <c r="AP143" s="165"/>
      <c r="AQ143" s="165"/>
      <c r="AR143" s="165">
        <v>0</v>
      </c>
      <c r="AS143" s="165"/>
      <c r="AT143" s="165"/>
      <c r="AU143" s="165"/>
      <c r="AV143" s="165"/>
      <c r="BB143" s="174">
        <v>0</v>
      </c>
      <c r="BC143" s="174">
        <v>0</v>
      </c>
      <c r="BD143" s="174">
        <v>0</v>
      </c>
      <c r="BE143" s="174">
        <v>0</v>
      </c>
      <c r="BF143" s="171"/>
      <c r="BG143" s="174">
        <v>0</v>
      </c>
      <c r="BH143" s="174">
        <v>0</v>
      </c>
      <c r="BI143" s="174">
        <v>0</v>
      </c>
      <c r="BJ143" s="174"/>
      <c r="BK143" s="174"/>
      <c r="BL143" s="174">
        <v>0</v>
      </c>
      <c r="BM143" s="174"/>
      <c r="BN143" s="174"/>
      <c r="BO143" s="174"/>
      <c r="BP143" s="174"/>
      <c r="BS143" s="207">
        <v>18</v>
      </c>
      <c r="BT143" s="115"/>
      <c r="BU143" s="115"/>
      <c r="BV143" s="1"/>
      <c r="BW143" s="115"/>
      <c r="BX143" s="207"/>
      <c r="CD143">
        <v>64</v>
      </c>
      <c r="CE143">
        <v>71</v>
      </c>
      <c r="CV143" s="228"/>
      <c r="CW143" s="107">
        <f t="shared" si="114"/>
        <v>0</v>
      </c>
      <c r="CX143" s="107">
        <f t="shared" si="115"/>
        <v>0</v>
      </c>
      <c r="CY143" s="107">
        <f t="shared" si="116"/>
        <v>0</v>
      </c>
      <c r="CZ143" s="107">
        <f t="shared" si="117"/>
        <v>0</v>
      </c>
      <c r="DA143" s="107">
        <f t="shared" si="118"/>
        <v>0</v>
      </c>
      <c r="DB143" s="107">
        <f t="shared" si="119"/>
        <v>0</v>
      </c>
      <c r="DC143" s="107">
        <f t="shared" si="139"/>
        <v>0</v>
      </c>
      <c r="DD143" s="107">
        <f t="shared" si="125"/>
        <v>0</v>
      </c>
      <c r="DE143" s="107">
        <f t="shared" si="124"/>
        <v>0</v>
      </c>
      <c r="DF143" s="107">
        <f t="shared" si="126"/>
        <v>0</v>
      </c>
      <c r="DG143" s="107">
        <f t="shared" si="127"/>
        <v>0</v>
      </c>
      <c r="DH143" s="228">
        <f t="shared" si="128"/>
        <v>0</v>
      </c>
      <c r="DI143" s="228"/>
      <c r="DJ143" s="228"/>
      <c r="DK143" s="228"/>
      <c r="DL143" s="228"/>
      <c r="DM143" s="228"/>
      <c r="DN143" s="228"/>
      <c r="DO143" s="228"/>
      <c r="DQ143" s="1">
        <f t="shared" si="122"/>
        <v>0</v>
      </c>
      <c r="DR143" s="1">
        <f t="shared" si="120"/>
        <v>0</v>
      </c>
      <c r="DS143" s="1">
        <f t="shared" si="140"/>
        <v>11.52</v>
      </c>
      <c r="DT143" s="1">
        <f t="shared" si="141"/>
        <v>12.78</v>
      </c>
      <c r="DV143" s="236"/>
      <c r="DW143" s="237">
        <f t="shared" si="147"/>
        <v>900</v>
      </c>
      <c r="DX143" s="238">
        <v>0.45</v>
      </c>
      <c r="DY143" s="210"/>
      <c r="DZ143" s="210"/>
      <c r="EA143" s="239"/>
      <c r="EB143" s="240">
        <f t="shared" si="131"/>
        <v>0</v>
      </c>
      <c r="EC143" s="208">
        <v>0</v>
      </c>
      <c r="ED143" s="208">
        <v>0</v>
      </c>
      <c r="EE143" s="208">
        <v>0</v>
      </c>
      <c r="EF143" s="208"/>
      <c r="EG143" s="398"/>
      <c r="EH143" s="208">
        <v>0</v>
      </c>
      <c r="EI143" s="178">
        <f t="shared" si="129"/>
        <v>0</v>
      </c>
      <c r="EJ143" s="115"/>
      <c r="EK143" s="247">
        <v>7.3413000000000006E-2</v>
      </c>
      <c r="EL143" s="247">
        <v>7.3413000000000006E-2</v>
      </c>
      <c r="EM143" s="247">
        <v>2.2046E-2</v>
      </c>
      <c r="EN143" s="247">
        <f>5/454</f>
        <v>1.1013215859030838E-2</v>
      </c>
      <c r="EO143" s="248">
        <f>0.09/454</f>
        <v>1.9823788546255506E-4</v>
      </c>
      <c r="EP143" s="248">
        <f>0.09/454</f>
        <v>1.9823788546255506E-4</v>
      </c>
      <c r="EQ143" s="248"/>
      <c r="ER143" s="248"/>
      <c r="ET143" s="115"/>
      <c r="EU143" s="115"/>
      <c r="EV143" s="115"/>
      <c r="EW143" s="115"/>
      <c r="EX143" s="115"/>
      <c r="EY143" s="115"/>
      <c r="EZ143" s="115"/>
      <c r="FA143" s="115"/>
      <c r="FB143" s="115"/>
      <c r="FC143" s="115"/>
      <c r="FD143" s="115"/>
      <c r="FE143" s="115"/>
      <c r="FF143" s="115"/>
      <c r="FG143" s="115"/>
      <c r="FH143" s="115"/>
      <c r="FI143" s="115"/>
      <c r="FJ143" s="115"/>
      <c r="FK143" s="115"/>
      <c r="FL143" s="115"/>
      <c r="FM143" s="242" t="e">
        <f t="shared" si="134"/>
        <v>#DIV/0!</v>
      </c>
      <c r="FN143" s="242" t="e">
        <f t="shared" si="135"/>
        <v>#DIV/0!</v>
      </c>
      <c r="FO143" s="243" t="e">
        <f t="shared" si="136"/>
        <v>#DIV/0!</v>
      </c>
      <c r="FP143" s="243" t="e">
        <f t="shared" si="137"/>
        <v>#DIV/0!</v>
      </c>
      <c r="FQ143" s="244" t="e">
        <f t="shared" si="138"/>
        <v>#DIV/0!</v>
      </c>
    </row>
    <row r="144" spans="1:204" ht="12.75" customHeight="1" x14ac:dyDescent="0.15">
      <c r="B144" s="31" t="s">
        <v>23</v>
      </c>
      <c r="D144" s="210"/>
      <c r="E144" s="210"/>
      <c r="F144" s="210"/>
      <c r="G144" s="1"/>
      <c r="H144" s="1"/>
      <c r="I144" s="207"/>
      <c r="J144" s="208"/>
      <c r="K144" s="208">
        <v>0</v>
      </c>
      <c r="AH144" s="165">
        <v>0</v>
      </c>
      <c r="AI144" s="165">
        <v>0</v>
      </c>
      <c r="AJ144" s="165">
        <v>0</v>
      </c>
      <c r="AK144" s="165">
        <v>0</v>
      </c>
      <c r="AL144" s="1"/>
      <c r="AM144" s="165">
        <v>0</v>
      </c>
      <c r="AN144" s="165">
        <v>0</v>
      </c>
      <c r="AO144" s="165">
        <v>0</v>
      </c>
      <c r="AP144" s="165"/>
      <c r="AQ144" s="165"/>
      <c r="AR144" s="165">
        <v>0</v>
      </c>
      <c r="AS144" s="165"/>
      <c r="AT144" s="165"/>
      <c r="AU144" s="165"/>
      <c r="AV144" s="165"/>
      <c r="BB144" s="174">
        <v>0</v>
      </c>
      <c r="BC144" s="174">
        <v>0</v>
      </c>
      <c r="BD144" s="174">
        <v>0</v>
      </c>
      <c r="BE144" s="174">
        <v>0</v>
      </c>
      <c r="BF144" s="171"/>
      <c r="BG144" s="174">
        <v>0</v>
      </c>
      <c r="BH144" s="174">
        <v>0</v>
      </c>
      <c r="BI144" s="174">
        <v>0</v>
      </c>
      <c r="BJ144" s="174"/>
      <c r="BK144" s="174"/>
      <c r="BL144" s="174">
        <v>0</v>
      </c>
      <c r="BM144" s="174"/>
      <c r="BN144" s="174"/>
      <c r="BO144" s="174"/>
      <c r="BP144" s="174"/>
      <c r="BS144" s="207">
        <v>18</v>
      </c>
      <c r="BT144" s="115"/>
      <c r="BU144" s="115"/>
      <c r="BV144" s="1"/>
      <c r="BW144" s="115"/>
      <c r="BX144" s="207"/>
      <c r="CD144">
        <v>64</v>
      </c>
      <c r="CE144">
        <v>71</v>
      </c>
      <c r="CV144" s="228"/>
      <c r="CW144" s="107">
        <f t="shared" si="114"/>
        <v>0</v>
      </c>
      <c r="CX144" s="107">
        <f t="shared" si="115"/>
        <v>0</v>
      </c>
      <c r="CY144" s="107">
        <f t="shared" si="116"/>
        <v>0</v>
      </c>
      <c r="CZ144" s="107">
        <f t="shared" si="117"/>
        <v>0</v>
      </c>
      <c r="DA144" s="107">
        <f t="shared" si="118"/>
        <v>0</v>
      </c>
      <c r="DB144" s="107">
        <f t="shared" si="119"/>
        <v>0</v>
      </c>
      <c r="DC144" s="107">
        <f t="shared" si="139"/>
        <v>0</v>
      </c>
      <c r="DD144" s="107">
        <f t="shared" si="125"/>
        <v>0</v>
      </c>
      <c r="DE144" s="107">
        <f t="shared" si="124"/>
        <v>0</v>
      </c>
      <c r="DF144" s="107">
        <f t="shared" si="126"/>
        <v>0</v>
      </c>
      <c r="DG144" s="107">
        <f t="shared" si="127"/>
        <v>0</v>
      </c>
      <c r="DH144" s="228">
        <f t="shared" si="128"/>
        <v>0</v>
      </c>
      <c r="DI144" s="228"/>
      <c r="DJ144" s="228"/>
      <c r="DK144" s="228"/>
      <c r="DL144" s="228"/>
      <c r="DM144" s="228"/>
      <c r="DN144" s="228"/>
      <c r="DO144" s="228"/>
      <c r="DQ144" s="1">
        <f t="shared" si="122"/>
        <v>0</v>
      </c>
      <c r="DR144" s="1">
        <f t="shared" si="120"/>
        <v>0</v>
      </c>
      <c r="DS144" s="1">
        <f t="shared" si="140"/>
        <v>11.52</v>
      </c>
      <c r="DT144" s="1">
        <f t="shared" si="141"/>
        <v>12.78</v>
      </c>
      <c r="DV144" s="236"/>
      <c r="DW144" s="237">
        <f t="shared" si="147"/>
        <v>2600</v>
      </c>
      <c r="DX144" s="238">
        <v>1.3</v>
      </c>
      <c r="DY144" s="210"/>
      <c r="DZ144" s="210"/>
      <c r="EA144" s="239"/>
      <c r="EB144" s="240">
        <f t="shared" si="131"/>
        <v>0</v>
      </c>
      <c r="EC144" s="208">
        <v>0</v>
      </c>
      <c r="ED144" s="208">
        <v>0</v>
      </c>
      <c r="EE144" s="208">
        <v>0</v>
      </c>
      <c r="EF144" s="208"/>
      <c r="EG144" s="398"/>
      <c r="EH144" s="208">
        <v>0</v>
      </c>
      <c r="EI144" s="178">
        <f t="shared" si="129"/>
        <v>0</v>
      </c>
      <c r="EJ144" s="115"/>
      <c r="EK144" s="115"/>
      <c r="EL144" s="115"/>
      <c r="EM144" s="115"/>
      <c r="EN144" s="115"/>
      <c r="EO144" s="115"/>
      <c r="EP144" s="115"/>
      <c r="EQ144" s="249">
        <f>0.036/454</f>
        <v>7.9295154185022015E-5</v>
      </c>
      <c r="ER144" s="115"/>
      <c r="ES144" s="115">
        <v>750000</v>
      </c>
      <c r="ET144" s="115"/>
      <c r="EU144" s="115">
        <v>4000</v>
      </c>
      <c r="EV144" s="115"/>
      <c r="EW144" s="115"/>
      <c r="EX144" s="115"/>
      <c r="EY144" s="115"/>
      <c r="EZ144" s="115"/>
      <c r="FA144" s="115">
        <v>40</v>
      </c>
      <c r="FB144" s="115">
        <v>400</v>
      </c>
      <c r="FC144" s="115">
        <v>180</v>
      </c>
      <c r="FD144" s="115">
        <v>100000</v>
      </c>
      <c r="FE144" s="115">
        <v>9000</v>
      </c>
      <c r="FF144" s="115"/>
      <c r="FG144" s="115"/>
      <c r="FH144" s="115"/>
      <c r="FI144" s="115"/>
      <c r="FJ144" s="115"/>
      <c r="FK144" s="115"/>
      <c r="FL144" s="115"/>
      <c r="FM144" s="242" t="e">
        <f t="shared" si="134"/>
        <v>#DIV/0!</v>
      </c>
      <c r="FN144" s="242" t="e">
        <f t="shared" si="135"/>
        <v>#DIV/0!</v>
      </c>
      <c r="FO144" s="243" t="e">
        <f t="shared" si="136"/>
        <v>#DIV/0!</v>
      </c>
      <c r="FP144" s="243" t="e">
        <f t="shared" si="137"/>
        <v>#DIV/0!</v>
      </c>
      <c r="FQ144" s="244" t="e">
        <f t="shared" si="138"/>
        <v>#DIV/0!</v>
      </c>
    </row>
    <row r="145" spans="2:173" ht="12.75" customHeight="1" x14ac:dyDescent="0.15">
      <c r="B145" s="93" t="s">
        <v>331</v>
      </c>
      <c r="D145" s="210"/>
      <c r="E145" s="210"/>
      <c r="F145" s="210"/>
      <c r="G145" s="1"/>
      <c r="H145" s="1"/>
      <c r="I145" s="207"/>
      <c r="J145" s="208"/>
      <c r="K145" s="208">
        <v>0</v>
      </c>
      <c r="AH145" s="165">
        <v>0</v>
      </c>
      <c r="AI145" s="165">
        <v>0</v>
      </c>
      <c r="AJ145" s="165">
        <v>0</v>
      </c>
      <c r="AK145" s="165">
        <v>0</v>
      </c>
      <c r="AL145" s="1"/>
      <c r="AM145" s="165">
        <v>0</v>
      </c>
      <c r="AN145" s="165">
        <v>0</v>
      </c>
      <c r="AO145" s="165">
        <v>0</v>
      </c>
      <c r="AP145" s="165"/>
      <c r="AQ145" s="165"/>
      <c r="AR145" s="165">
        <v>0</v>
      </c>
      <c r="AS145" s="165"/>
      <c r="AT145" s="165"/>
      <c r="AU145" s="165"/>
      <c r="AV145" s="165"/>
      <c r="BB145" s="174">
        <v>0</v>
      </c>
      <c r="BC145" s="174">
        <v>0</v>
      </c>
      <c r="BD145" s="174">
        <v>0</v>
      </c>
      <c r="BE145" s="174">
        <v>0</v>
      </c>
      <c r="BF145" s="171"/>
      <c r="BG145" s="174">
        <v>0</v>
      </c>
      <c r="BH145" s="174">
        <v>0</v>
      </c>
      <c r="BI145" s="174">
        <v>0</v>
      </c>
      <c r="BJ145" s="174"/>
      <c r="BK145" s="174"/>
      <c r="BL145" s="174">
        <v>0</v>
      </c>
      <c r="BM145" s="174"/>
      <c r="BN145" s="174"/>
      <c r="BO145" s="174"/>
      <c r="BP145" s="174"/>
      <c r="BS145" s="207">
        <v>18</v>
      </c>
      <c r="BT145" s="115"/>
      <c r="BU145" s="115"/>
      <c r="BV145" s="1"/>
      <c r="BW145" s="115"/>
      <c r="BX145" s="207"/>
      <c r="CD145">
        <v>64</v>
      </c>
      <c r="CE145">
        <v>71</v>
      </c>
      <c r="CV145" s="228"/>
      <c r="CW145" s="107">
        <f t="shared" si="114"/>
        <v>0</v>
      </c>
      <c r="CX145" s="107">
        <f t="shared" si="115"/>
        <v>0</v>
      </c>
      <c r="CY145" s="107">
        <f t="shared" si="116"/>
        <v>0</v>
      </c>
      <c r="CZ145" s="107">
        <f t="shared" si="117"/>
        <v>0</v>
      </c>
      <c r="DA145" s="107">
        <f t="shared" si="118"/>
        <v>0</v>
      </c>
      <c r="DB145" s="107">
        <f t="shared" si="119"/>
        <v>0</v>
      </c>
      <c r="DC145" s="107">
        <f t="shared" si="139"/>
        <v>0</v>
      </c>
      <c r="DD145" s="107">
        <f t="shared" si="125"/>
        <v>0</v>
      </c>
      <c r="DE145" s="107">
        <f t="shared" si="124"/>
        <v>0</v>
      </c>
      <c r="DF145" s="107">
        <f t="shared" si="126"/>
        <v>0</v>
      </c>
      <c r="DG145" s="107">
        <f t="shared" si="127"/>
        <v>0</v>
      </c>
      <c r="DH145" s="228">
        <f t="shared" si="128"/>
        <v>0</v>
      </c>
      <c r="DI145" s="228"/>
      <c r="DJ145" s="228"/>
      <c r="DK145" s="228"/>
      <c r="DL145" s="228"/>
      <c r="DM145" s="228"/>
      <c r="DN145" s="228"/>
      <c r="DO145" s="228"/>
      <c r="DQ145" s="1">
        <f t="shared" si="122"/>
        <v>0</v>
      </c>
      <c r="DR145" s="1">
        <f t="shared" si="120"/>
        <v>0</v>
      </c>
      <c r="DS145" s="1">
        <f t="shared" si="140"/>
        <v>11.52</v>
      </c>
      <c r="DT145" s="1">
        <f t="shared" si="141"/>
        <v>12.78</v>
      </c>
      <c r="DV145" s="236"/>
      <c r="DW145" s="237">
        <f t="shared" ref="DW145" si="148">DX145*2000</f>
        <v>1800</v>
      </c>
      <c r="DX145" s="238">
        <v>0.9</v>
      </c>
      <c r="DY145" s="210"/>
      <c r="DZ145" s="210"/>
      <c r="EA145" s="239"/>
      <c r="EB145" s="240">
        <f t="shared" si="131"/>
        <v>0</v>
      </c>
      <c r="EC145" s="208">
        <v>0</v>
      </c>
      <c r="ED145" s="208">
        <v>0</v>
      </c>
      <c r="EE145" s="115"/>
      <c r="EF145" s="115"/>
      <c r="EG145" s="399"/>
      <c r="EH145" s="208">
        <v>0</v>
      </c>
      <c r="EI145" s="178">
        <f t="shared" si="129"/>
        <v>0</v>
      </c>
      <c r="EJ145" s="115"/>
      <c r="EK145" s="115"/>
      <c r="EL145" s="115"/>
      <c r="EM145" s="115"/>
      <c r="EN145" s="115"/>
      <c r="EO145" s="115"/>
      <c r="EP145" s="115"/>
      <c r="EQ145" s="115"/>
      <c r="ER145" s="115"/>
      <c r="ES145" s="115">
        <f>ES142</f>
        <v>750000</v>
      </c>
      <c r="ET145" s="115">
        <f t="shared" ref="ET145:EZ145" si="149">ET142</f>
        <v>300000</v>
      </c>
      <c r="EU145" s="115">
        <f t="shared" si="149"/>
        <v>8000</v>
      </c>
      <c r="EV145" s="115">
        <f t="shared" si="149"/>
        <v>600</v>
      </c>
      <c r="EW145" s="115">
        <f t="shared" si="149"/>
        <v>6</v>
      </c>
      <c r="EX145" s="115">
        <f t="shared" si="149"/>
        <v>9000</v>
      </c>
      <c r="EY145" s="115">
        <f t="shared" si="149"/>
        <v>5000</v>
      </c>
      <c r="EZ145" s="115">
        <f t="shared" si="149"/>
        <v>1500</v>
      </c>
      <c r="FA145" s="115"/>
      <c r="FB145" s="115"/>
      <c r="FC145" s="115"/>
      <c r="FD145" s="115"/>
      <c r="FE145" s="115"/>
      <c r="FF145" s="115"/>
      <c r="FG145" s="115"/>
      <c r="FH145" s="115"/>
      <c r="FI145" s="115"/>
      <c r="FJ145" s="115"/>
      <c r="FK145" s="115"/>
      <c r="FL145" s="115"/>
      <c r="FM145" s="242" t="e">
        <f t="shared" si="134"/>
        <v>#DIV/0!</v>
      </c>
      <c r="FN145" s="242" t="e">
        <f t="shared" si="135"/>
        <v>#DIV/0!</v>
      </c>
      <c r="FO145" s="243" t="e">
        <f t="shared" si="136"/>
        <v>#DIV/0!</v>
      </c>
      <c r="FP145" s="243" t="e">
        <f t="shared" si="137"/>
        <v>#DIV/0!</v>
      </c>
      <c r="FQ145" s="244" t="e">
        <f t="shared" si="138"/>
        <v>#DIV/0!</v>
      </c>
    </row>
    <row r="146" spans="2:173" ht="14" x14ac:dyDescent="0.15">
      <c r="B146" s="90" t="s">
        <v>159</v>
      </c>
      <c r="D146" s="210"/>
      <c r="E146" s="210"/>
      <c r="F146" s="211"/>
      <c r="G146" s="1"/>
      <c r="H146" s="1"/>
      <c r="I146" s="116"/>
      <c r="J146" s="115"/>
      <c r="K146" s="115"/>
      <c r="AH146" s="116">
        <v>0</v>
      </c>
      <c r="AI146" s="116">
        <v>0</v>
      </c>
      <c r="AJ146" s="116">
        <v>11.8</v>
      </c>
      <c r="AK146" s="116">
        <v>0</v>
      </c>
      <c r="AL146" s="1"/>
      <c r="AM146" s="116">
        <v>0</v>
      </c>
      <c r="AN146" s="116">
        <v>0</v>
      </c>
      <c r="AO146" s="116">
        <v>0</v>
      </c>
      <c r="AP146" s="116"/>
      <c r="AQ146" s="116"/>
      <c r="AR146" s="167">
        <v>0</v>
      </c>
      <c r="AS146" s="167"/>
      <c r="AT146" s="167"/>
      <c r="AU146" s="167"/>
      <c r="AV146" s="167"/>
      <c r="BB146" s="176"/>
      <c r="BC146" s="176"/>
      <c r="BD146" s="1">
        <v>100</v>
      </c>
      <c r="BE146" s="176"/>
      <c r="BF146" s="1"/>
      <c r="BG146" s="176"/>
      <c r="BH146" s="176"/>
      <c r="BI146" s="176"/>
      <c r="BJ146" s="176"/>
      <c r="BK146" s="176"/>
      <c r="BL146" s="175"/>
      <c r="BM146" s="175"/>
      <c r="BN146" s="175"/>
      <c r="BO146" s="175"/>
      <c r="BP146" s="175"/>
      <c r="BS146" s="116">
        <v>21</v>
      </c>
      <c r="BT146" s="226">
        <f>0.17*BT82</f>
        <v>0</v>
      </c>
      <c r="BU146" s="226"/>
      <c r="BV146" s="1"/>
      <c r="BW146" s="226">
        <f>0.17*BW82</f>
        <v>0</v>
      </c>
      <c r="BX146" s="116">
        <v>0.2</v>
      </c>
      <c r="CB146">
        <v>82.8</v>
      </c>
      <c r="CC146">
        <v>88.3</v>
      </c>
      <c r="CD146">
        <v>64</v>
      </c>
      <c r="CE146">
        <v>71</v>
      </c>
      <c r="CV146" s="228"/>
      <c r="CW146" s="107">
        <f t="shared" si="114"/>
        <v>0</v>
      </c>
      <c r="CX146" s="107">
        <f t="shared" si="115"/>
        <v>0</v>
      </c>
      <c r="CY146" s="107">
        <f t="shared" si="116"/>
        <v>0</v>
      </c>
      <c r="CZ146" s="107">
        <f t="shared" si="117"/>
        <v>0</v>
      </c>
      <c r="DA146" s="107">
        <f t="shared" si="118"/>
        <v>11.8</v>
      </c>
      <c r="DB146" s="107">
        <f t="shared" si="119"/>
        <v>0</v>
      </c>
      <c r="DC146" s="107">
        <f t="shared" si="139"/>
        <v>0</v>
      </c>
      <c r="DD146" s="107">
        <f t="shared" si="125"/>
        <v>0</v>
      </c>
      <c r="DE146" s="107">
        <f t="shared" si="124"/>
        <v>0</v>
      </c>
      <c r="DF146" s="107">
        <f t="shared" si="126"/>
        <v>0</v>
      </c>
      <c r="DG146" s="107">
        <f t="shared" si="127"/>
        <v>0</v>
      </c>
      <c r="DH146" s="228">
        <f t="shared" si="128"/>
        <v>0</v>
      </c>
      <c r="DI146" s="228"/>
      <c r="DJ146" s="228"/>
      <c r="DK146" s="228"/>
      <c r="DL146" s="228"/>
      <c r="DM146" s="228"/>
      <c r="DN146" s="228"/>
      <c r="DO146" s="228"/>
      <c r="DQ146" s="1">
        <f t="shared" si="122"/>
        <v>0.1656</v>
      </c>
      <c r="DR146" s="1">
        <f t="shared" si="120"/>
        <v>0.17660000000000001</v>
      </c>
      <c r="DS146" s="1">
        <f t="shared" si="140"/>
        <v>13.44</v>
      </c>
      <c r="DT146" s="1">
        <f t="shared" si="141"/>
        <v>14.91</v>
      </c>
      <c r="DW146" s="237">
        <f t="shared" si="130"/>
        <v>500</v>
      </c>
      <c r="DX146" s="238">
        <v>0.25</v>
      </c>
      <c r="DY146" s="202"/>
      <c r="DZ146" s="202"/>
      <c r="EA146" s="250">
        <v>1</v>
      </c>
      <c r="EB146" s="240">
        <f t="shared" si="131"/>
        <v>0.2</v>
      </c>
      <c r="EC146" s="226"/>
      <c r="ED146" s="115"/>
      <c r="EE146" s="208">
        <f>EE142*3/50</f>
        <v>13605</v>
      </c>
      <c r="EF146" s="208"/>
      <c r="EG146" s="398"/>
      <c r="EH146" s="226"/>
      <c r="EI146" s="178">
        <f t="shared" si="129"/>
        <v>0</v>
      </c>
      <c r="EJ146" s="115"/>
      <c r="EK146" s="115">
        <f>EK143*3/50</f>
        <v>4.4047800000000005E-3</v>
      </c>
      <c r="EL146" s="115">
        <f t="shared" ref="EL146:EP146" si="150">EL143*3/50</f>
        <v>4.4047800000000005E-3</v>
      </c>
      <c r="EM146" s="115">
        <f t="shared" si="150"/>
        <v>1.3227600000000001E-3</v>
      </c>
      <c r="EN146" s="115">
        <f t="shared" si="150"/>
        <v>6.6079295154185019E-4</v>
      </c>
      <c r="EO146" s="115">
        <f t="shared" si="150"/>
        <v>1.1894273127753304E-5</v>
      </c>
      <c r="EP146" s="115">
        <f t="shared" si="150"/>
        <v>1.1894273127753304E-5</v>
      </c>
      <c r="EQ146" s="115"/>
      <c r="ER146" s="115"/>
      <c r="ES146" s="115">
        <f>ES142*3/50</f>
        <v>45000</v>
      </c>
      <c r="ET146" s="115">
        <f t="shared" ref="ET146:EZ146" si="151">ET142*3/50</f>
        <v>18000</v>
      </c>
      <c r="EU146" s="115">
        <f t="shared" si="151"/>
        <v>480</v>
      </c>
      <c r="EV146" s="115">
        <f t="shared" si="151"/>
        <v>36</v>
      </c>
      <c r="EW146" s="115">
        <f t="shared" si="151"/>
        <v>0.36</v>
      </c>
      <c r="EX146" s="115">
        <f t="shared" si="151"/>
        <v>540</v>
      </c>
      <c r="EY146" s="115">
        <f t="shared" si="151"/>
        <v>300</v>
      </c>
      <c r="EZ146" s="115">
        <f t="shared" si="151"/>
        <v>90</v>
      </c>
      <c r="FA146" s="115"/>
      <c r="FB146" s="115"/>
      <c r="FC146" s="115"/>
      <c r="FD146" s="115"/>
      <c r="FE146" s="115"/>
      <c r="FF146" s="115"/>
      <c r="FG146" s="115"/>
      <c r="FH146" s="115"/>
      <c r="FI146" s="115"/>
      <c r="FJ146" s="115"/>
      <c r="FK146" s="115"/>
      <c r="FL146" s="115"/>
      <c r="FM146" s="242" t="e">
        <f t="shared" si="134"/>
        <v>#DIV/0!</v>
      </c>
      <c r="FN146" s="242" t="e">
        <f t="shared" si="135"/>
        <v>#DIV/0!</v>
      </c>
      <c r="FO146" s="243" t="e">
        <f t="shared" si="136"/>
        <v>#DIV/0!</v>
      </c>
      <c r="FP146" s="243" t="e">
        <f t="shared" si="137"/>
        <v>#DIV/0!</v>
      </c>
      <c r="FQ146" s="244" t="e">
        <f t="shared" si="138"/>
        <v>#DIV/0!</v>
      </c>
    </row>
    <row r="147" spans="2:173" ht="14" x14ac:dyDescent="0.15">
      <c r="B147" s="90" t="s">
        <v>160</v>
      </c>
      <c r="D147" s="210"/>
      <c r="E147" s="210"/>
      <c r="F147" s="211"/>
      <c r="G147" s="1"/>
      <c r="H147" s="1"/>
      <c r="I147" s="116"/>
      <c r="J147" s="115"/>
      <c r="K147" s="115"/>
      <c r="AH147" s="116">
        <v>0</v>
      </c>
      <c r="AI147" s="116">
        <v>0</v>
      </c>
      <c r="AJ147" s="116">
        <v>9.43</v>
      </c>
      <c r="AK147" s="116">
        <v>0.39</v>
      </c>
      <c r="AL147" s="1"/>
      <c r="AM147" s="116">
        <v>2</v>
      </c>
      <c r="AN147" s="116">
        <v>0</v>
      </c>
      <c r="AO147" s="116">
        <v>0</v>
      </c>
      <c r="AP147" s="116"/>
      <c r="AQ147" s="116"/>
      <c r="AR147" s="167">
        <v>0</v>
      </c>
      <c r="AS147" s="167"/>
      <c r="AT147" s="167"/>
      <c r="AU147" s="167"/>
      <c r="AV147" s="167"/>
      <c r="BB147" s="176"/>
      <c r="BC147" s="176"/>
      <c r="BD147" s="1">
        <v>100</v>
      </c>
      <c r="BE147" s="1">
        <v>100</v>
      </c>
      <c r="BF147" s="1"/>
      <c r="BG147" s="1">
        <v>100</v>
      </c>
      <c r="BH147" s="176"/>
      <c r="BI147" s="176"/>
      <c r="BJ147" s="176"/>
      <c r="BK147" s="176"/>
      <c r="BL147" s="175"/>
      <c r="BM147" s="175"/>
      <c r="BN147" s="175"/>
      <c r="BO147" s="175"/>
      <c r="BP147" s="175"/>
      <c r="BS147" s="116">
        <v>21</v>
      </c>
      <c r="BT147" s="226">
        <f>BT146</f>
        <v>0</v>
      </c>
      <c r="BU147" s="226"/>
      <c r="BV147" s="1"/>
      <c r="BW147" s="226">
        <f>BW146</f>
        <v>0</v>
      </c>
      <c r="BX147" s="116">
        <v>4.8</v>
      </c>
      <c r="CB147">
        <v>82.8</v>
      </c>
      <c r="CC147">
        <v>88.3</v>
      </c>
      <c r="CD147">
        <v>64</v>
      </c>
      <c r="CE147">
        <v>71</v>
      </c>
      <c r="CV147" s="228"/>
      <c r="CW147" s="107">
        <f t="shared" si="114"/>
        <v>0</v>
      </c>
      <c r="CX147" s="107">
        <f t="shared" si="115"/>
        <v>0</v>
      </c>
      <c r="CY147" s="107">
        <f t="shared" si="116"/>
        <v>0</v>
      </c>
      <c r="CZ147" s="107">
        <f t="shared" si="117"/>
        <v>0</v>
      </c>
      <c r="DA147" s="107">
        <f t="shared" si="118"/>
        <v>9.43</v>
      </c>
      <c r="DB147" s="107">
        <f t="shared" si="119"/>
        <v>0.39</v>
      </c>
      <c r="DC147" s="107">
        <f t="shared" si="139"/>
        <v>0.39</v>
      </c>
      <c r="DD147" s="107">
        <f t="shared" si="125"/>
        <v>0</v>
      </c>
      <c r="DE147" s="107">
        <f t="shared" si="124"/>
        <v>0</v>
      </c>
      <c r="DF147" s="107">
        <f t="shared" si="126"/>
        <v>2</v>
      </c>
      <c r="DG147" s="107">
        <f t="shared" si="127"/>
        <v>0</v>
      </c>
      <c r="DH147" s="228">
        <f t="shared" si="128"/>
        <v>0</v>
      </c>
      <c r="DI147" s="228"/>
      <c r="DJ147" s="228"/>
      <c r="DK147" s="228"/>
      <c r="DL147" s="228"/>
      <c r="DM147" s="228"/>
      <c r="DN147" s="228"/>
      <c r="DO147" s="228"/>
      <c r="DQ147" s="1">
        <f t="shared" si="122"/>
        <v>3.9744000000000002</v>
      </c>
      <c r="DR147" s="1">
        <f t="shared" si="120"/>
        <v>4.2383999999999995</v>
      </c>
      <c r="DS147" s="1">
        <f t="shared" si="140"/>
        <v>13.44</v>
      </c>
      <c r="DT147" s="1">
        <f t="shared" si="141"/>
        <v>14.91</v>
      </c>
      <c r="DW147" s="237">
        <f t="shared" si="130"/>
        <v>600</v>
      </c>
      <c r="DX147" s="238">
        <v>0.3</v>
      </c>
      <c r="DY147" s="202"/>
      <c r="DZ147" s="202"/>
      <c r="EA147" s="250">
        <v>1</v>
      </c>
      <c r="EB147" s="240">
        <f t="shared" si="131"/>
        <v>4.8</v>
      </c>
      <c r="EC147" s="226"/>
      <c r="ED147" s="115"/>
      <c r="EE147" s="208">
        <f>EE142*3/50</f>
        <v>13605</v>
      </c>
      <c r="EF147" s="208"/>
      <c r="EG147" s="398"/>
      <c r="EH147" s="226"/>
      <c r="EI147" s="178">
        <f t="shared" si="129"/>
        <v>0</v>
      </c>
      <c r="EJ147" s="115"/>
      <c r="EK147" s="115">
        <f>EK143*3/50</f>
        <v>4.4047800000000005E-3</v>
      </c>
      <c r="EL147" s="115">
        <f t="shared" ref="EL147:EP147" si="152">EL143*3/50</f>
        <v>4.4047800000000005E-3</v>
      </c>
      <c r="EM147" s="115">
        <f t="shared" si="152"/>
        <v>1.3227600000000001E-3</v>
      </c>
      <c r="EN147" s="115">
        <f t="shared" si="152"/>
        <v>6.6079295154185019E-4</v>
      </c>
      <c r="EO147" s="115">
        <f t="shared" si="152"/>
        <v>1.1894273127753304E-5</v>
      </c>
      <c r="EP147" s="115">
        <f t="shared" si="152"/>
        <v>1.1894273127753304E-5</v>
      </c>
      <c r="EQ147" s="115"/>
      <c r="ER147" s="115"/>
      <c r="ES147" s="115">
        <f>ES142*3/50</f>
        <v>45000</v>
      </c>
      <c r="ET147" s="115">
        <f t="shared" ref="ET147:EZ147" si="153">ET142*3/50</f>
        <v>18000</v>
      </c>
      <c r="EU147" s="115">
        <f t="shared" si="153"/>
        <v>480</v>
      </c>
      <c r="EV147" s="115">
        <f t="shared" si="153"/>
        <v>36</v>
      </c>
      <c r="EW147" s="115">
        <f t="shared" si="153"/>
        <v>0.36</v>
      </c>
      <c r="EX147" s="115">
        <f t="shared" si="153"/>
        <v>540</v>
      </c>
      <c r="EY147" s="115">
        <f t="shared" si="153"/>
        <v>300</v>
      </c>
      <c r="EZ147" s="115">
        <f t="shared" si="153"/>
        <v>90</v>
      </c>
      <c r="FA147" s="115"/>
      <c r="FB147" s="115"/>
      <c r="FC147" s="115"/>
      <c r="FD147" s="115"/>
      <c r="FE147" s="115"/>
      <c r="FF147" s="115"/>
      <c r="FG147" s="115"/>
      <c r="FH147" s="115"/>
      <c r="FI147" s="115"/>
      <c r="FJ147" s="115"/>
      <c r="FK147" s="115"/>
      <c r="FL147" s="115"/>
      <c r="FM147" s="242" t="e">
        <f t="shared" si="134"/>
        <v>#DIV/0!</v>
      </c>
      <c r="FN147" s="242" t="e">
        <f t="shared" si="135"/>
        <v>#DIV/0!</v>
      </c>
      <c r="FO147" s="243" t="e">
        <f t="shared" si="136"/>
        <v>#DIV/0!</v>
      </c>
      <c r="FP147" s="243" t="e">
        <f t="shared" si="137"/>
        <v>#DIV/0!</v>
      </c>
      <c r="FQ147" s="244" t="e">
        <f t="shared" si="138"/>
        <v>#DIV/0!</v>
      </c>
    </row>
    <row r="148" spans="2:173" ht="14" x14ac:dyDescent="0.15">
      <c r="B148" s="90" t="s">
        <v>164</v>
      </c>
      <c r="D148" s="119"/>
      <c r="E148" s="119"/>
      <c r="F148" s="119"/>
      <c r="G148" s="1"/>
      <c r="H148" s="1"/>
      <c r="I148" s="116"/>
      <c r="J148" s="115"/>
      <c r="K148" s="115"/>
      <c r="AH148" s="116"/>
      <c r="AI148" s="116"/>
      <c r="AJ148" s="116"/>
      <c r="AK148" s="116"/>
      <c r="AL148" s="1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BB148" s="176"/>
      <c r="BC148" s="176"/>
      <c r="BD148" s="176"/>
      <c r="BE148" s="176"/>
      <c r="BF148" s="1"/>
      <c r="BG148" s="176"/>
      <c r="BH148" s="176"/>
      <c r="BI148" s="176"/>
      <c r="BJ148" s="176"/>
      <c r="BK148" s="176"/>
      <c r="BL148" s="176"/>
      <c r="BM148" s="176"/>
      <c r="BN148" s="176"/>
      <c r="BO148" s="176"/>
      <c r="BP148" s="176"/>
      <c r="BS148" s="116"/>
      <c r="BT148" s="115"/>
      <c r="BU148" s="115"/>
      <c r="BV148" s="1"/>
      <c r="BW148" s="115"/>
      <c r="BX148" s="116"/>
      <c r="CD148">
        <v>64</v>
      </c>
      <c r="CE148">
        <v>71</v>
      </c>
      <c r="CV148" s="228"/>
      <c r="CW148" s="107">
        <f t="shared" si="114"/>
        <v>0</v>
      </c>
      <c r="CX148" s="107">
        <f t="shared" si="115"/>
        <v>0</v>
      </c>
      <c r="CY148" s="107">
        <f t="shared" si="116"/>
        <v>0</v>
      </c>
      <c r="CZ148" s="107">
        <f t="shared" si="117"/>
        <v>0</v>
      </c>
      <c r="DA148" s="107">
        <f t="shared" si="118"/>
        <v>0</v>
      </c>
      <c r="DB148" s="107">
        <f t="shared" si="119"/>
        <v>0</v>
      </c>
      <c r="DC148" s="107">
        <f t="shared" si="139"/>
        <v>0</v>
      </c>
      <c r="DD148" s="107">
        <f t="shared" si="125"/>
        <v>0</v>
      </c>
      <c r="DE148" s="107">
        <f t="shared" si="124"/>
        <v>0</v>
      </c>
      <c r="DF148" s="107">
        <f t="shared" si="126"/>
        <v>0</v>
      </c>
      <c r="DG148" s="107">
        <f t="shared" si="127"/>
        <v>0</v>
      </c>
      <c r="DH148" s="228">
        <f t="shared" si="128"/>
        <v>0</v>
      </c>
      <c r="DI148" s="228"/>
      <c r="DJ148" s="228"/>
      <c r="DK148" s="228"/>
      <c r="DL148" s="228"/>
      <c r="DM148" s="228"/>
      <c r="DN148" s="228"/>
      <c r="DO148" s="228"/>
      <c r="DQ148" s="1">
        <f t="shared" si="122"/>
        <v>0</v>
      </c>
      <c r="DR148" s="1">
        <f t="shared" si="120"/>
        <v>0</v>
      </c>
      <c r="DS148" s="1">
        <f t="shared" si="140"/>
        <v>0</v>
      </c>
      <c r="DT148" s="1">
        <f t="shared" si="141"/>
        <v>0</v>
      </c>
      <c r="DW148" s="237">
        <f t="shared" ref="DW148:DW163" si="154">DX148*2000</f>
        <v>1200</v>
      </c>
      <c r="DX148" s="238">
        <v>0.6</v>
      </c>
      <c r="DY148" s="119"/>
      <c r="DZ148" s="119"/>
      <c r="EA148" s="239"/>
      <c r="EB148" s="240">
        <f t="shared" si="131"/>
        <v>0</v>
      </c>
      <c r="EC148" s="115"/>
      <c r="ED148" s="115"/>
      <c r="EE148" s="115"/>
      <c r="EF148" s="115"/>
      <c r="EG148" s="399"/>
      <c r="EH148" s="115"/>
      <c r="EI148" s="178" t="str">
        <f t="shared" si="129"/>
        <v/>
      </c>
      <c r="EJ148" s="115"/>
      <c r="EK148" s="115"/>
      <c r="EL148" s="115"/>
      <c r="EM148" s="115"/>
      <c r="EN148" s="115"/>
      <c r="EO148" s="115"/>
      <c r="EP148" s="115"/>
      <c r="EQ148" s="115"/>
      <c r="ER148" s="115"/>
      <c r="ES148" s="115"/>
      <c r="ET148" s="115"/>
      <c r="EU148" s="115"/>
      <c r="EV148" s="115"/>
      <c r="EW148" s="115"/>
      <c r="EX148" s="115"/>
      <c r="EY148" s="115"/>
      <c r="EZ148" s="115"/>
      <c r="FA148" s="115"/>
      <c r="FB148" s="115"/>
      <c r="FC148" s="115"/>
      <c r="FD148" s="115">
        <f>0.5*453.6*1000</f>
        <v>226800</v>
      </c>
      <c r="FE148" s="115"/>
      <c r="FF148" s="115"/>
      <c r="FG148" s="115"/>
      <c r="FH148" s="115"/>
      <c r="FI148" s="115"/>
      <c r="FJ148" s="115"/>
      <c r="FK148" s="115"/>
      <c r="FL148" s="115"/>
      <c r="FM148" s="242" t="e">
        <f t="shared" si="134"/>
        <v>#DIV/0!</v>
      </c>
      <c r="FN148" s="242" t="e">
        <f t="shared" si="135"/>
        <v>#DIV/0!</v>
      </c>
      <c r="FO148" s="243" t="e">
        <f t="shared" si="136"/>
        <v>#DIV/0!</v>
      </c>
      <c r="FP148" s="243" t="e">
        <f t="shared" si="137"/>
        <v>#DIV/0!</v>
      </c>
      <c r="FQ148" s="244" t="e">
        <f t="shared" si="138"/>
        <v>#DIV/0!</v>
      </c>
    </row>
    <row r="149" spans="2:173" ht="14" x14ac:dyDescent="0.15">
      <c r="B149" s="91" t="s">
        <v>95</v>
      </c>
      <c r="D149" s="206"/>
      <c r="E149" s="206"/>
      <c r="F149" s="206"/>
      <c r="G149" s="1"/>
      <c r="H149" s="1"/>
      <c r="I149" s="207"/>
      <c r="J149" s="208"/>
      <c r="K149" s="208"/>
      <c r="AH149" s="165"/>
      <c r="AI149" s="165"/>
      <c r="AJ149" s="165"/>
      <c r="AK149" s="207"/>
      <c r="AL149" s="1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BB149" s="219"/>
      <c r="BC149" s="219"/>
      <c r="BD149" s="219"/>
      <c r="BE149" s="177"/>
      <c r="BF149" s="1"/>
      <c r="BG149" s="219"/>
      <c r="BH149" s="219"/>
      <c r="BI149" s="219"/>
      <c r="BJ149" s="219"/>
      <c r="BK149" s="219"/>
      <c r="BL149" s="177"/>
      <c r="BM149" s="177"/>
      <c r="BN149" s="177"/>
      <c r="BO149" s="177"/>
      <c r="BP149" s="177"/>
      <c r="BS149" s="207"/>
      <c r="BT149" s="115"/>
      <c r="BU149" s="208"/>
      <c r="BV149" s="1"/>
      <c r="BW149" s="208"/>
      <c r="BX149" s="207"/>
      <c r="CD149">
        <v>64</v>
      </c>
      <c r="CE149">
        <v>71</v>
      </c>
      <c r="CV149" s="228"/>
      <c r="CW149" s="107">
        <f t="shared" si="114"/>
        <v>0</v>
      </c>
      <c r="CX149" s="107">
        <f t="shared" si="115"/>
        <v>0</v>
      </c>
      <c r="CY149" s="107">
        <f t="shared" si="116"/>
        <v>0</v>
      </c>
      <c r="CZ149" s="107">
        <f t="shared" si="117"/>
        <v>0</v>
      </c>
      <c r="DA149" s="107">
        <f t="shared" si="118"/>
        <v>0</v>
      </c>
      <c r="DB149" s="107">
        <f t="shared" si="119"/>
        <v>0</v>
      </c>
      <c r="DC149" s="107">
        <f t="shared" si="139"/>
        <v>0</v>
      </c>
      <c r="DD149" s="107">
        <f t="shared" si="125"/>
        <v>0</v>
      </c>
      <c r="DE149" s="107">
        <f t="shared" si="124"/>
        <v>0</v>
      </c>
      <c r="DF149" s="107">
        <f t="shared" si="126"/>
        <v>0</v>
      </c>
      <c r="DG149" s="107">
        <f t="shared" si="127"/>
        <v>0</v>
      </c>
      <c r="DH149" s="228">
        <f t="shared" si="128"/>
        <v>0</v>
      </c>
      <c r="DI149" s="228"/>
      <c r="DJ149" s="228"/>
      <c r="DK149" s="228"/>
      <c r="DL149" s="228"/>
      <c r="DM149" s="228"/>
      <c r="DN149" s="228"/>
      <c r="DO149" s="228"/>
      <c r="DQ149" s="1">
        <f t="shared" si="122"/>
        <v>0</v>
      </c>
      <c r="DR149" s="1">
        <f t="shared" si="120"/>
        <v>0</v>
      </c>
      <c r="DS149" s="1">
        <f t="shared" si="140"/>
        <v>0</v>
      </c>
      <c r="DT149" s="1">
        <f t="shared" si="141"/>
        <v>0</v>
      </c>
      <c r="DV149" s="236"/>
      <c r="DW149" s="237">
        <f t="shared" si="154"/>
        <v>0</v>
      </c>
      <c r="DX149" s="238">
        <v>0</v>
      </c>
      <c r="DY149" s="210"/>
      <c r="DZ149" s="210"/>
      <c r="EA149" s="239"/>
      <c r="EB149" s="240">
        <f t="shared" si="131"/>
        <v>0</v>
      </c>
      <c r="EC149" s="208"/>
      <c r="ED149" s="208"/>
      <c r="EE149" s="251">
        <f t="shared" ref="EE149:EE156" si="155">EF149*454</f>
        <v>272400</v>
      </c>
      <c r="EF149" s="115">
        <v>600</v>
      </c>
      <c r="EG149" s="398"/>
      <c r="EH149" s="208"/>
      <c r="EI149" s="178"/>
      <c r="EJ149" s="115"/>
      <c r="EK149" s="115"/>
      <c r="EL149" s="115"/>
      <c r="EM149" s="115"/>
      <c r="EN149" s="115"/>
      <c r="EO149" s="115"/>
      <c r="EP149" s="115"/>
      <c r="EQ149" s="115"/>
      <c r="ER149" s="115"/>
      <c r="ES149" s="115"/>
      <c r="ET149" s="115"/>
      <c r="EU149" s="115"/>
      <c r="EV149" s="115"/>
      <c r="EW149" s="115"/>
      <c r="EX149" s="115"/>
      <c r="EY149" s="115"/>
      <c r="EZ149" s="115"/>
      <c r="FA149" s="115"/>
      <c r="FB149" s="115"/>
      <c r="FC149" s="115"/>
      <c r="FD149" s="115"/>
      <c r="FE149" s="115"/>
      <c r="FF149" s="115"/>
      <c r="FG149" s="115"/>
      <c r="FH149" s="115"/>
      <c r="FI149" s="115"/>
      <c r="FJ149" s="115"/>
      <c r="FK149" s="115"/>
      <c r="FL149" s="115"/>
      <c r="FM149" s="242" t="e">
        <f t="shared" si="134"/>
        <v>#DIV/0!</v>
      </c>
      <c r="FN149" s="242" t="e">
        <f t="shared" si="135"/>
        <v>#DIV/0!</v>
      </c>
      <c r="FO149" s="243" t="e">
        <f t="shared" si="136"/>
        <v>#DIV/0!</v>
      </c>
      <c r="FP149" s="243" t="e">
        <f t="shared" si="137"/>
        <v>#DIV/0!</v>
      </c>
      <c r="FQ149" s="244" t="e">
        <f t="shared" si="138"/>
        <v>#DIV/0!</v>
      </c>
    </row>
    <row r="150" spans="2:173" ht="14" x14ac:dyDescent="0.15">
      <c r="B150" s="91" t="s">
        <v>96</v>
      </c>
      <c r="D150" s="206"/>
      <c r="E150" s="206"/>
      <c r="F150" s="206"/>
      <c r="G150" s="1"/>
      <c r="H150" s="1"/>
      <c r="I150" s="207"/>
      <c r="J150" s="208"/>
      <c r="K150" s="208"/>
      <c r="AH150" s="165"/>
      <c r="AI150" s="165"/>
      <c r="AJ150" s="165"/>
      <c r="AK150" s="207"/>
      <c r="AL150" s="1"/>
      <c r="AM150" s="165"/>
      <c r="AN150" s="165"/>
      <c r="AO150" s="165"/>
      <c r="AP150" s="165"/>
      <c r="AQ150" s="165"/>
      <c r="AR150" s="165"/>
      <c r="AS150" s="165"/>
      <c r="AT150" s="165"/>
      <c r="AU150" s="165"/>
      <c r="AV150" s="165"/>
      <c r="BB150" s="219"/>
      <c r="BC150" s="219"/>
      <c r="BD150" s="219"/>
      <c r="BE150" s="177"/>
      <c r="BF150" s="1"/>
      <c r="BG150" s="219"/>
      <c r="BH150" s="219"/>
      <c r="BI150" s="219"/>
      <c r="BJ150" s="219"/>
      <c r="BK150" s="219"/>
      <c r="BL150" s="177"/>
      <c r="BM150" s="177"/>
      <c r="BN150" s="177"/>
      <c r="BO150" s="177"/>
      <c r="BP150" s="177"/>
      <c r="BS150" s="207"/>
      <c r="BT150" s="115"/>
      <c r="BU150" s="208"/>
      <c r="BV150" s="1"/>
      <c r="BW150" s="208"/>
      <c r="BX150" s="207"/>
      <c r="CD150">
        <v>64</v>
      </c>
      <c r="CE150">
        <v>71</v>
      </c>
      <c r="CV150" s="228"/>
      <c r="CW150" s="107">
        <f t="shared" si="114"/>
        <v>0</v>
      </c>
      <c r="CX150" s="107">
        <f t="shared" si="115"/>
        <v>0</v>
      </c>
      <c r="CY150" s="107">
        <f t="shared" si="116"/>
        <v>0</v>
      </c>
      <c r="CZ150" s="107">
        <f t="shared" si="117"/>
        <v>0</v>
      </c>
      <c r="DA150" s="107">
        <f t="shared" si="118"/>
        <v>0</v>
      </c>
      <c r="DB150" s="107">
        <f t="shared" si="119"/>
        <v>0</v>
      </c>
      <c r="DC150" s="107">
        <f t="shared" si="139"/>
        <v>0</v>
      </c>
      <c r="DD150" s="107">
        <f t="shared" si="125"/>
        <v>0</v>
      </c>
      <c r="DE150" s="107">
        <f t="shared" ref="DE150:DE187" si="156">DD150+BQ150*AW150/100</f>
        <v>0</v>
      </c>
      <c r="DF150" s="107">
        <f t="shared" si="126"/>
        <v>0</v>
      </c>
      <c r="DG150" s="107">
        <f t="shared" si="127"/>
        <v>0</v>
      </c>
      <c r="DH150" s="228">
        <f t="shared" si="128"/>
        <v>0</v>
      </c>
      <c r="DI150" s="228"/>
      <c r="DJ150" s="228"/>
      <c r="DK150" s="228"/>
      <c r="DL150" s="228"/>
      <c r="DM150" s="228"/>
      <c r="DN150" s="228"/>
      <c r="DO150" s="228"/>
      <c r="DQ150" s="1">
        <f t="shared" si="122"/>
        <v>0</v>
      </c>
      <c r="DR150" s="1">
        <f t="shared" si="120"/>
        <v>0</v>
      </c>
      <c r="DS150" s="1">
        <f t="shared" si="140"/>
        <v>0</v>
      </c>
      <c r="DT150" s="1">
        <f t="shared" si="141"/>
        <v>0</v>
      </c>
      <c r="DV150" s="236"/>
      <c r="DW150" s="237">
        <f t="shared" si="154"/>
        <v>0</v>
      </c>
      <c r="DX150" s="238">
        <v>0</v>
      </c>
      <c r="DY150" s="210"/>
      <c r="DZ150" s="210"/>
      <c r="EA150" s="239"/>
      <c r="EB150" s="240">
        <f t="shared" si="131"/>
        <v>0</v>
      </c>
      <c r="EC150" s="208"/>
      <c r="ED150" s="208"/>
      <c r="EE150" s="251">
        <f t="shared" si="155"/>
        <v>544800</v>
      </c>
      <c r="EF150" s="115">
        <v>1200</v>
      </c>
      <c r="EG150" s="398"/>
      <c r="EH150" s="208"/>
      <c r="EI150" s="178"/>
      <c r="EJ150" s="115"/>
      <c r="EK150" s="115"/>
      <c r="EL150" s="115"/>
      <c r="EM150" s="115"/>
      <c r="EN150" s="115"/>
      <c r="EO150" s="115"/>
      <c r="EP150" s="115"/>
      <c r="EQ150" s="115"/>
      <c r="ER150" s="115"/>
      <c r="ES150" s="115"/>
      <c r="ET150" s="115"/>
      <c r="EU150" s="115"/>
      <c r="EV150" s="115"/>
      <c r="EW150" s="115"/>
      <c r="EX150" s="115"/>
      <c r="EY150" s="115"/>
      <c r="EZ150" s="115"/>
      <c r="FA150" s="115"/>
      <c r="FB150" s="115"/>
      <c r="FC150" s="115"/>
      <c r="FD150" s="115"/>
      <c r="FE150" s="115"/>
      <c r="FF150" s="115"/>
      <c r="FG150" s="115"/>
      <c r="FH150" s="115"/>
      <c r="FI150" s="115"/>
      <c r="FJ150" s="115"/>
      <c r="FK150" s="115"/>
      <c r="FL150" s="115"/>
      <c r="FM150" s="242" t="e">
        <f t="shared" si="134"/>
        <v>#DIV/0!</v>
      </c>
      <c r="FN150" s="242" t="e">
        <f t="shared" si="135"/>
        <v>#DIV/0!</v>
      </c>
      <c r="FO150" s="243" t="e">
        <f t="shared" si="136"/>
        <v>#DIV/0!</v>
      </c>
      <c r="FP150" s="243" t="e">
        <f t="shared" si="137"/>
        <v>#DIV/0!</v>
      </c>
      <c r="FQ150" s="244" t="e">
        <f t="shared" si="138"/>
        <v>#DIV/0!</v>
      </c>
    </row>
    <row r="151" spans="2:173" ht="14" x14ac:dyDescent="0.15">
      <c r="B151" s="91" t="s">
        <v>97</v>
      </c>
      <c r="D151" s="206"/>
      <c r="E151" s="206"/>
      <c r="F151" s="206"/>
      <c r="G151" s="1"/>
      <c r="H151" s="1"/>
      <c r="I151" s="207"/>
      <c r="J151" s="208"/>
      <c r="K151" s="208"/>
      <c r="AH151" s="165"/>
      <c r="AI151" s="165"/>
      <c r="AJ151" s="165"/>
      <c r="AK151" s="207"/>
      <c r="AL151" s="1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BB151" s="219"/>
      <c r="BC151" s="219"/>
      <c r="BD151" s="219"/>
      <c r="BE151" s="177"/>
      <c r="BF151" s="1"/>
      <c r="BG151" s="219"/>
      <c r="BH151" s="219"/>
      <c r="BI151" s="219"/>
      <c r="BJ151" s="219"/>
      <c r="BK151" s="219"/>
      <c r="BL151" s="177"/>
      <c r="BM151" s="177"/>
      <c r="BN151" s="177"/>
      <c r="BO151" s="177"/>
      <c r="BP151" s="177"/>
      <c r="BS151" s="207"/>
      <c r="BT151" s="115"/>
      <c r="BU151" s="208"/>
      <c r="BV151" s="1"/>
      <c r="BW151" s="208"/>
      <c r="BX151" s="207"/>
      <c r="CD151">
        <v>64</v>
      </c>
      <c r="CE151">
        <v>71</v>
      </c>
      <c r="CV151" s="228"/>
      <c r="CW151" s="107">
        <f t="shared" si="114"/>
        <v>0</v>
      </c>
      <c r="CX151" s="107">
        <f t="shared" si="115"/>
        <v>0</v>
      </c>
      <c r="CY151" s="107">
        <f t="shared" si="116"/>
        <v>0</v>
      </c>
      <c r="CZ151" s="107">
        <f t="shared" si="117"/>
        <v>0</v>
      </c>
      <c r="DA151" s="107">
        <f t="shared" si="118"/>
        <v>0</v>
      </c>
      <c r="DB151" s="107">
        <f t="shared" si="119"/>
        <v>0</v>
      </c>
      <c r="DC151" s="107">
        <f t="shared" si="139"/>
        <v>0</v>
      </c>
      <c r="DD151" s="107">
        <f t="shared" si="125"/>
        <v>0</v>
      </c>
      <c r="DE151" s="107">
        <f t="shared" si="156"/>
        <v>0</v>
      </c>
      <c r="DF151" s="107">
        <f t="shared" si="126"/>
        <v>0</v>
      </c>
      <c r="DG151" s="107">
        <f t="shared" si="127"/>
        <v>0</v>
      </c>
      <c r="DH151" s="228">
        <f t="shared" si="128"/>
        <v>0</v>
      </c>
      <c r="DI151" s="228"/>
      <c r="DJ151" s="228"/>
      <c r="DK151" s="228"/>
      <c r="DL151" s="228"/>
      <c r="DM151" s="228"/>
      <c r="DN151" s="228"/>
      <c r="DO151" s="228"/>
      <c r="DQ151" s="1">
        <f t="shared" si="122"/>
        <v>0</v>
      </c>
      <c r="DR151" s="1">
        <f t="shared" si="120"/>
        <v>0</v>
      </c>
      <c r="DS151" s="1">
        <f t="shared" si="140"/>
        <v>0</v>
      </c>
      <c r="DT151" s="1">
        <f t="shared" si="141"/>
        <v>0</v>
      </c>
      <c r="DV151" s="236"/>
      <c r="DW151" s="237">
        <f t="shared" si="154"/>
        <v>0</v>
      </c>
      <c r="DX151" s="238">
        <v>0</v>
      </c>
      <c r="DY151" s="210"/>
      <c r="DZ151" s="210"/>
      <c r="EA151" s="239"/>
      <c r="EB151" s="240">
        <f t="shared" si="131"/>
        <v>0</v>
      </c>
      <c r="EC151" s="208"/>
      <c r="ED151" s="208"/>
      <c r="EE151" s="251">
        <f t="shared" si="155"/>
        <v>908000</v>
      </c>
      <c r="EF151" s="115">
        <v>2000</v>
      </c>
      <c r="EG151" s="398"/>
      <c r="EH151" s="208"/>
      <c r="EI151" s="178"/>
      <c r="EJ151" s="115"/>
      <c r="EK151" s="115"/>
      <c r="EL151" s="115"/>
      <c r="EM151" s="115"/>
      <c r="EN151" s="115"/>
      <c r="EO151" s="115"/>
      <c r="EP151" s="115"/>
      <c r="EQ151" s="115"/>
      <c r="ER151" s="115"/>
      <c r="ES151" s="115"/>
      <c r="ET151" s="115"/>
      <c r="EU151" s="115"/>
      <c r="EV151" s="115"/>
      <c r="EW151" s="115"/>
      <c r="EX151" s="115"/>
      <c r="EY151" s="115"/>
      <c r="EZ151" s="115"/>
      <c r="FA151" s="115"/>
      <c r="FB151" s="115"/>
      <c r="FC151" s="115"/>
      <c r="FD151" s="115"/>
      <c r="FE151" s="115"/>
      <c r="FF151" s="115"/>
      <c r="FG151" s="115"/>
      <c r="FH151" s="115"/>
      <c r="FI151" s="115"/>
      <c r="FJ151" s="115"/>
      <c r="FK151" s="115"/>
      <c r="FL151" s="115"/>
      <c r="FM151" s="242" t="e">
        <f t="shared" si="134"/>
        <v>#DIV/0!</v>
      </c>
      <c r="FN151" s="242" t="e">
        <f t="shared" si="135"/>
        <v>#DIV/0!</v>
      </c>
      <c r="FO151" s="243" t="e">
        <f t="shared" si="136"/>
        <v>#DIV/0!</v>
      </c>
      <c r="FP151" s="243" t="e">
        <f t="shared" si="137"/>
        <v>#DIV/0!</v>
      </c>
      <c r="FQ151" s="244" t="e">
        <f t="shared" si="138"/>
        <v>#DIV/0!</v>
      </c>
    </row>
    <row r="152" spans="2:173" ht="14" x14ac:dyDescent="0.15">
      <c r="B152" s="91" t="s">
        <v>98</v>
      </c>
      <c r="D152" s="206"/>
      <c r="E152" s="206"/>
      <c r="F152" s="206"/>
      <c r="G152" s="1"/>
      <c r="H152" s="1"/>
      <c r="I152" s="207"/>
      <c r="J152" s="208"/>
      <c r="K152" s="208"/>
      <c r="AH152" s="165"/>
      <c r="AI152" s="165"/>
      <c r="AJ152" s="165"/>
      <c r="AK152" s="207"/>
      <c r="AL152" s="1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BB152" s="219"/>
      <c r="BC152" s="219"/>
      <c r="BD152" s="219"/>
      <c r="BE152" s="177"/>
      <c r="BF152" s="1"/>
      <c r="BG152" s="219"/>
      <c r="BH152" s="219"/>
      <c r="BI152" s="219"/>
      <c r="BJ152" s="219"/>
      <c r="BK152" s="219"/>
      <c r="BL152" s="177"/>
      <c r="BM152" s="177"/>
      <c r="BN152" s="177"/>
      <c r="BO152" s="177"/>
      <c r="BP152" s="177"/>
      <c r="BS152" s="207"/>
      <c r="BT152" s="115"/>
      <c r="BU152" s="208"/>
      <c r="BV152" s="1"/>
      <c r="BW152" s="208"/>
      <c r="BX152" s="207"/>
      <c r="CD152">
        <v>64</v>
      </c>
      <c r="CE152">
        <v>71</v>
      </c>
      <c r="CV152" s="228"/>
      <c r="CW152" s="107">
        <f t="shared" si="114"/>
        <v>0</v>
      </c>
      <c r="CX152" s="107">
        <f t="shared" si="115"/>
        <v>0</v>
      </c>
      <c r="CY152" s="107">
        <f t="shared" si="116"/>
        <v>0</v>
      </c>
      <c r="CZ152" s="107">
        <f t="shared" si="117"/>
        <v>0</v>
      </c>
      <c r="DA152" s="107">
        <f t="shared" si="118"/>
        <v>0</v>
      </c>
      <c r="DB152" s="107">
        <f t="shared" si="119"/>
        <v>0</v>
      </c>
      <c r="DC152" s="107">
        <f t="shared" si="139"/>
        <v>0</v>
      </c>
      <c r="DD152" s="107">
        <f t="shared" si="125"/>
        <v>0</v>
      </c>
      <c r="DE152" s="107">
        <f t="shared" si="156"/>
        <v>0</v>
      </c>
      <c r="DF152" s="107">
        <f t="shared" si="126"/>
        <v>0</v>
      </c>
      <c r="DG152" s="107">
        <f t="shared" si="127"/>
        <v>0</v>
      </c>
      <c r="DH152" s="228">
        <f t="shared" si="128"/>
        <v>0</v>
      </c>
      <c r="DI152" s="228"/>
      <c r="DJ152" s="228"/>
      <c r="DK152" s="228"/>
      <c r="DL152" s="228"/>
      <c r="DM152" s="228"/>
      <c r="DN152" s="228"/>
      <c r="DO152" s="228"/>
      <c r="DQ152" s="1">
        <f t="shared" si="122"/>
        <v>0</v>
      </c>
      <c r="DR152" s="1">
        <f t="shared" si="120"/>
        <v>0</v>
      </c>
      <c r="DS152" s="1">
        <f t="shared" si="140"/>
        <v>0</v>
      </c>
      <c r="DT152" s="1">
        <f t="shared" si="141"/>
        <v>0</v>
      </c>
      <c r="DV152" s="236"/>
      <c r="DW152" s="237">
        <f t="shared" si="154"/>
        <v>0</v>
      </c>
      <c r="DX152" s="238">
        <v>0</v>
      </c>
      <c r="DY152" s="210"/>
      <c r="DZ152" s="210"/>
      <c r="EA152" s="239"/>
      <c r="EB152" s="240">
        <f t="shared" si="131"/>
        <v>0</v>
      </c>
      <c r="EC152" s="208"/>
      <c r="ED152" s="208"/>
      <c r="EE152" s="251">
        <f t="shared" si="155"/>
        <v>544800</v>
      </c>
      <c r="EF152" s="115">
        <v>1200</v>
      </c>
      <c r="EG152" s="398"/>
      <c r="EH152" s="208"/>
      <c r="EI152" s="178"/>
      <c r="EJ152" s="115"/>
      <c r="EK152" s="115"/>
      <c r="EL152" s="115"/>
      <c r="EM152" s="115"/>
      <c r="EN152" s="115"/>
      <c r="EO152" s="115"/>
      <c r="EP152" s="115"/>
      <c r="EQ152" s="115"/>
      <c r="ER152" s="115"/>
      <c r="ES152" s="115"/>
      <c r="ET152" s="115"/>
      <c r="EU152" s="115"/>
      <c r="EV152" s="115"/>
      <c r="EW152" s="115"/>
      <c r="EX152" s="115"/>
      <c r="EY152" s="115"/>
      <c r="EZ152" s="115"/>
      <c r="FA152" s="115"/>
      <c r="FB152" s="115"/>
      <c r="FC152" s="115"/>
      <c r="FD152" s="115"/>
      <c r="FE152" s="115"/>
      <c r="FF152" s="115"/>
      <c r="FG152" s="115"/>
      <c r="FH152" s="115"/>
      <c r="FI152" s="115"/>
      <c r="FJ152" s="115"/>
      <c r="FK152" s="115"/>
      <c r="FL152" s="115"/>
      <c r="FM152" s="242" t="e">
        <f t="shared" si="134"/>
        <v>#DIV/0!</v>
      </c>
      <c r="FN152" s="242" t="e">
        <f t="shared" si="135"/>
        <v>#DIV/0!</v>
      </c>
      <c r="FO152" s="243" t="e">
        <f t="shared" si="136"/>
        <v>#DIV/0!</v>
      </c>
      <c r="FP152" s="243" t="e">
        <f t="shared" si="137"/>
        <v>#DIV/0!</v>
      </c>
      <c r="FQ152" s="244" t="e">
        <f t="shared" si="138"/>
        <v>#DIV/0!</v>
      </c>
    </row>
    <row r="153" spans="2:173" ht="14" x14ac:dyDescent="0.15">
      <c r="B153" s="91" t="s">
        <v>99</v>
      </c>
      <c r="D153" s="206"/>
      <c r="E153" s="206"/>
      <c r="F153" s="206"/>
      <c r="G153" s="1"/>
      <c r="H153" s="1"/>
      <c r="I153" s="207"/>
      <c r="J153" s="208"/>
      <c r="K153" s="208"/>
      <c r="AH153" s="165"/>
      <c r="AI153" s="165"/>
      <c r="AJ153" s="165"/>
      <c r="AK153" s="207"/>
      <c r="AL153" s="1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BB153" s="219"/>
      <c r="BC153" s="219"/>
      <c r="BD153" s="219"/>
      <c r="BE153" s="177"/>
      <c r="BF153" s="1"/>
      <c r="BG153" s="219"/>
      <c r="BH153" s="219"/>
      <c r="BI153" s="219"/>
      <c r="BJ153" s="219"/>
      <c r="BK153" s="219"/>
      <c r="BL153" s="177"/>
      <c r="BM153" s="177"/>
      <c r="BN153" s="177"/>
      <c r="BO153" s="177"/>
      <c r="BP153" s="177"/>
      <c r="BS153" s="207"/>
      <c r="BT153" s="115"/>
      <c r="BU153" s="208"/>
      <c r="BV153" s="1"/>
      <c r="BW153" s="208"/>
      <c r="BX153" s="207"/>
      <c r="CD153">
        <v>64</v>
      </c>
      <c r="CE153">
        <v>71</v>
      </c>
      <c r="CV153" s="228"/>
      <c r="CW153" s="107">
        <f t="shared" si="114"/>
        <v>0</v>
      </c>
      <c r="CX153" s="107">
        <f t="shared" si="115"/>
        <v>0</v>
      </c>
      <c r="CY153" s="107">
        <f t="shared" si="116"/>
        <v>0</v>
      </c>
      <c r="CZ153" s="107">
        <f t="shared" si="117"/>
        <v>0</v>
      </c>
      <c r="DA153" s="107">
        <f t="shared" si="118"/>
        <v>0</v>
      </c>
      <c r="DB153" s="107">
        <f t="shared" si="119"/>
        <v>0</v>
      </c>
      <c r="DC153" s="107">
        <f t="shared" si="139"/>
        <v>0</v>
      </c>
      <c r="DD153" s="107">
        <f t="shared" si="125"/>
        <v>0</v>
      </c>
      <c r="DE153" s="107">
        <f t="shared" si="156"/>
        <v>0</v>
      </c>
      <c r="DF153" s="107">
        <f t="shared" si="126"/>
        <v>0</v>
      </c>
      <c r="DG153" s="107">
        <f t="shared" si="127"/>
        <v>0</v>
      </c>
      <c r="DH153" s="228">
        <f t="shared" si="128"/>
        <v>0</v>
      </c>
      <c r="DI153" s="228"/>
      <c r="DJ153" s="228"/>
      <c r="DK153" s="228"/>
      <c r="DL153" s="228"/>
      <c r="DM153" s="228"/>
      <c r="DN153" s="228"/>
      <c r="DO153" s="228"/>
      <c r="DQ153" s="1">
        <f t="shared" si="122"/>
        <v>0</v>
      </c>
      <c r="DR153" s="1">
        <f t="shared" si="120"/>
        <v>0</v>
      </c>
      <c r="DS153" s="1">
        <f t="shared" si="140"/>
        <v>0</v>
      </c>
      <c r="DT153" s="1">
        <f t="shared" si="141"/>
        <v>0</v>
      </c>
      <c r="DV153" s="236"/>
      <c r="DW153" s="237">
        <f t="shared" si="154"/>
        <v>0</v>
      </c>
      <c r="DX153" s="238">
        <v>0</v>
      </c>
      <c r="DY153" s="210"/>
      <c r="DZ153" s="210"/>
      <c r="EA153" s="239"/>
      <c r="EB153" s="240">
        <f t="shared" si="131"/>
        <v>0</v>
      </c>
      <c r="EC153" s="208"/>
      <c r="ED153" s="208"/>
      <c r="EE153" s="251">
        <f t="shared" si="155"/>
        <v>2270000</v>
      </c>
      <c r="EF153" s="115">
        <v>5000</v>
      </c>
      <c r="EG153" s="398"/>
      <c r="EH153" s="208"/>
      <c r="EI153" s="178"/>
      <c r="EJ153" s="115"/>
      <c r="EK153" s="115"/>
      <c r="EL153" s="115"/>
      <c r="EM153" s="115"/>
      <c r="EN153" s="115"/>
      <c r="EO153" s="115"/>
      <c r="EP153" s="115"/>
      <c r="EQ153" s="115"/>
      <c r="ER153" s="115"/>
      <c r="ES153" s="115"/>
      <c r="ET153" s="115"/>
      <c r="EU153" s="115"/>
      <c r="EV153" s="115"/>
      <c r="EW153" s="115"/>
      <c r="EX153" s="115"/>
      <c r="EY153" s="115"/>
      <c r="EZ153" s="115"/>
      <c r="FA153" s="115"/>
      <c r="FB153" s="115"/>
      <c r="FC153" s="115"/>
      <c r="FD153" s="115"/>
      <c r="FE153" s="115"/>
      <c r="FF153" s="115"/>
      <c r="FG153" s="115"/>
      <c r="FH153" s="115"/>
      <c r="FI153" s="115"/>
      <c r="FJ153" s="115"/>
      <c r="FK153" s="115"/>
      <c r="FL153" s="115"/>
      <c r="FM153" s="242" t="e">
        <f t="shared" si="134"/>
        <v>#DIV/0!</v>
      </c>
      <c r="FN153" s="242" t="e">
        <f t="shared" si="135"/>
        <v>#DIV/0!</v>
      </c>
      <c r="FO153" s="243" t="e">
        <f t="shared" si="136"/>
        <v>#DIV/0!</v>
      </c>
      <c r="FP153" s="243" t="e">
        <f t="shared" si="137"/>
        <v>#DIV/0!</v>
      </c>
      <c r="FQ153" s="244" t="e">
        <f t="shared" si="138"/>
        <v>#DIV/0!</v>
      </c>
    </row>
    <row r="154" spans="2:173" ht="14" x14ac:dyDescent="0.15">
      <c r="B154" s="91" t="s">
        <v>349</v>
      </c>
      <c r="D154" s="206"/>
      <c r="E154" s="206"/>
      <c r="F154" s="206"/>
      <c r="G154" s="1"/>
      <c r="H154" s="1"/>
      <c r="I154" s="207"/>
      <c r="J154" s="208"/>
      <c r="K154" s="208"/>
      <c r="AH154" s="165"/>
      <c r="AI154" s="165"/>
      <c r="AJ154" s="165"/>
      <c r="AK154" s="207"/>
      <c r="AL154" s="1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BB154" s="219"/>
      <c r="BC154" s="219"/>
      <c r="BD154" s="219"/>
      <c r="BE154" s="177"/>
      <c r="BF154" s="1"/>
      <c r="BG154" s="219"/>
      <c r="BH154" s="219"/>
      <c r="BI154" s="219"/>
      <c r="BJ154" s="219"/>
      <c r="BK154" s="219"/>
      <c r="BL154" s="177"/>
      <c r="BM154" s="177"/>
      <c r="BN154" s="177"/>
      <c r="BO154" s="177"/>
      <c r="BP154" s="177"/>
      <c r="BS154" s="207"/>
      <c r="BT154" s="115"/>
      <c r="BU154" s="208"/>
      <c r="BV154" s="1"/>
      <c r="BW154" s="208"/>
      <c r="BX154" s="207"/>
      <c r="CD154">
        <v>64</v>
      </c>
      <c r="CE154">
        <v>71</v>
      </c>
      <c r="CV154" s="228"/>
      <c r="CW154" s="107">
        <f t="shared" si="114"/>
        <v>0</v>
      </c>
      <c r="CX154" s="107">
        <f t="shared" si="115"/>
        <v>0</v>
      </c>
      <c r="CY154" s="107">
        <f t="shared" si="116"/>
        <v>0</v>
      </c>
      <c r="CZ154" s="107">
        <f t="shared" si="117"/>
        <v>0</v>
      </c>
      <c r="DA154" s="107">
        <f t="shared" si="118"/>
        <v>0</v>
      </c>
      <c r="DB154" s="107">
        <f t="shared" si="119"/>
        <v>0</v>
      </c>
      <c r="DC154" s="107">
        <f t="shared" si="139"/>
        <v>0</v>
      </c>
      <c r="DD154" s="107">
        <f t="shared" si="125"/>
        <v>0</v>
      </c>
      <c r="DE154" s="107">
        <f t="shared" si="156"/>
        <v>0</v>
      </c>
      <c r="DF154" s="107">
        <f t="shared" si="126"/>
        <v>0</v>
      </c>
      <c r="DG154" s="107">
        <f t="shared" si="127"/>
        <v>0</v>
      </c>
      <c r="DH154" s="228">
        <f t="shared" si="128"/>
        <v>0</v>
      </c>
      <c r="DI154" s="228"/>
      <c r="DJ154" s="228"/>
      <c r="DK154" s="228"/>
      <c r="DL154" s="228"/>
      <c r="DM154" s="228"/>
      <c r="DN154" s="228"/>
      <c r="DO154" s="228"/>
      <c r="DQ154" s="1">
        <f t="shared" si="122"/>
        <v>0</v>
      </c>
      <c r="DR154" s="1">
        <f t="shared" si="120"/>
        <v>0</v>
      </c>
      <c r="DS154" s="1">
        <f t="shared" si="140"/>
        <v>0</v>
      </c>
      <c r="DT154" s="1">
        <f t="shared" si="141"/>
        <v>0</v>
      </c>
      <c r="DV154" s="236">
        <v>0.37</v>
      </c>
      <c r="DW154" s="237">
        <f t="shared" si="154"/>
        <v>0</v>
      </c>
      <c r="DX154" s="238">
        <v>0</v>
      </c>
      <c r="DY154" s="210"/>
      <c r="DZ154" s="210"/>
      <c r="EA154" s="239"/>
      <c r="EB154" s="240">
        <f t="shared" si="131"/>
        <v>0</v>
      </c>
      <c r="EC154" s="208"/>
      <c r="ED154" s="208"/>
      <c r="EE154" s="251">
        <f t="shared" si="155"/>
        <v>4540000</v>
      </c>
      <c r="EF154" s="115">
        <v>10000</v>
      </c>
      <c r="EG154" s="398"/>
      <c r="EH154" s="208"/>
      <c r="EI154" s="178"/>
      <c r="EJ154" s="115"/>
      <c r="EK154" s="115"/>
      <c r="EL154" s="115"/>
      <c r="EM154" s="115"/>
      <c r="EN154" s="115"/>
      <c r="EO154" s="115"/>
      <c r="EP154" s="115"/>
      <c r="EQ154" s="115"/>
      <c r="ER154" s="115"/>
      <c r="ES154" s="115"/>
      <c r="ET154" s="115"/>
      <c r="EU154" s="115"/>
      <c r="EV154" s="115"/>
      <c r="EW154" s="115"/>
      <c r="EX154" s="115"/>
      <c r="EY154" s="115"/>
      <c r="EZ154" s="115"/>
      <c r="FA154" s="115"/>
      <c r="FB154" s="115"/>
      <c r="FC154" s="115"/>
      <c r="FD154" s="115"/>
      <c r="FE154" s="115"/>
      <c r="FF154" s="115"/>
      <c r="FG154" s="115"/>
      <c r="FH154" s="115"/>
      <c r="FI154" s="115"/>
      <c r="FJ154" s="115"/>
      <c r="FK154" s="115"/>
      <c r="FL154" s="115"/>
      <c r="FM154" s="242" t="e">
        <f t="shared" si="134"/>
        <v>#DIV/0!</v>
      </c>
      <c r="FN154" s="242" t="e">
        <f t="shared" si="135"/>
        <v>#DIV/0!</v>
      </c>
      <c r="FO154" s="243" t="e">
        <f t="shared" si="136"/>
        <v>#DIV/0!</v>
      </c>
      <c r="FP154" s="243" t="e">
        <f t="shared" si="137"/>
        <v>#DIV/0!</v>
      </c>
      <c r="FQ154" s="244" t="e">
        <f t="shared" si="138"/>
        <v>#DIV/0!</v>
      </c>
    </row>
    <row r="155" spans="2:173" ht="14" x14ac:dyDescent="0.15">
      <c r="B155" s="91" t="s">
        <v>351</v>
      </c>
      <c r="D155" s="206"/>
      <c r="E155" s="206"/>
      <c r="F155" s="206"/>
      <c r="G155" s="1"/>
      <c r="H155" s="1"/>
      <c r="I155" s="207"/>
      <c r="J155" s="208"/>
      <c r="K155" s="208"/>
      <c r="AH155" s="165"/>
      <c r="AI155" s="165"/>
      <c r="AJ155" s="165"/>
      <c r="AK155" s="207"/>
      <c r="AL155" s="1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BB155" s="219"/>
      <c r="BC155" s="219"/>
      <c r="BD155" s="219"/>
      <c r="BE155" s="177"/>
      <c r="BF155" s="1"/>
      <c r="BG155" s="219"/>
      <c r="BH155" s="219"/>
      <c r="BI155" s="219"/>
      <c r="BJ155" s="219"/>
      <c r="BK155" s="219"/>
      <c r="BL155" s="177"/>
      <c r="BM155" s="177"/>
      <c r="BN155" s="177"/>
      <c r="BO155" s="177"/>
      <c r="BP155" s="177"/>
      <c r="BS155" s="207"/>
      <c r="BT155" s="115"/>
      <c r="BU155" s="208"/>
      <c r="BV155" s="1"/>
      <c r="BW155" s="208"/>
      <c r="BX155" s="207"/>
      <c r="CD155">
        <v>64</v>
      </c>
      <c r="CE155">
        <v>71</v>
      </c>
      <c r="CV155" s="228"/>
      <c r="CW155" s="107">
        <f t="shared" si="114"/>
        <v>0</v>
      </c>
      <c r="CX155" s="107">
        <f t="shared" si="115"/>
        <v>0</v>
      </c>
      <c r="CY155" s="107">
        <f t="shared" si="116"/>
        <v>0</v>
      </c>
      <c r="CZ155" s="107">
        <f t="shared" si="117"/>
        <v>0</v>
      </c>
      <c r="DA155" s="107">
        <f t="shared" si="118"/>
        <v>0</v>
      </c>
      <c r="DB155" s="107">
        <f t="shared" si="119"/>
        <v>0</v>
      </c>
      <c r="DC155" s="107">
        <f t="shared" si="139"/>
        <v>0</v>
      </c>
      <c r="DD155" s="107">
        <f t="shared" si="125"/>
        <v>0</v>
      </c>
      <c r="DE155" s="107">
        <f t="shared" si="156"/>
        <v>0</v>
      </c>
      <c r="DF155" s="107">
        <f t="shared" si="126"/>
        <v>0</v>
      </c>
      <c r="DG155" s="107">
        <f t="shared" si="127"/>
        <v>0</v>
      </c>
      <c r="DH155" s="228">
        <f t="shared" si="128"/>
        <v>0</v>
      </c>
      <c r="DI155" s="228"/>
      <c r="DJ155" s="228"/>
      <c r="DK155" s="228"/>
      <c r="DL155" s="228"/>
      <c r="DM155" s="228"/>
      <c r="DN155" s="228"/>
      <c r="DO155" s="228"/>
      <c r="DQ155" s="1">
        <f t="shared" si="122"/>
        <v>0</v>
      </c>
      <c r="DR155" s="1">
        <f t="shared" si="120"/>
        <v>0</v>
      </c>
      <c r="DS155" s="1">
        <f t="shared" si="140"/>
        <v>0</v>
      </c>
      <c r="DT155" s="1">
        <f t="shared" si="141"/>
        <v>0</v>
      </c>
      <c r="DV155" s="236">
        <v>7.3999999999999996E-2</v>
      </c>
      <c r="DW155" s="237">
        <f t="shared" si="154"/>
        <v>0</v>
      </c>
      <c r="DX155" s="238">
        <v>0</v>
      </c>
      <c r="DY155" s="210"/>
      <c r="DZ155" s="210"/>
      <c r="EA155" s="239"/>
      <c r="EB155" s="240">
        <f t="shared" si="131"/>
        <v>0</v>
      </c>
      <c r="EC155" s="208"/>
      <c r="ED155" s="208"/>
      <c r="EE155" s="251">
        <f t="shared" si="155"/>
        <v>22700000</v>
      </c>
      <c r="EF155" s="115">
        <v>50000</v>
      </c>
      <c r="EG155" s="398"/>
      <c r="EH155" s="208"/>
      <c r="EI155" s="178"/>
      <c r="EJ155" s="115"/>
      <c r="EK155" s="115"/>
      <c r="EL155" s="115"/>
      <c r="EM155" s="115"/>
      <c r="EN155" s="115"/>
      <c r="EO155" s="115"/>
      <c r="EP155" s="115"/>
      <c r="EQ155" s="115"/>
      <c r="ER155" s="115"/>
      <c r="ES155" s="115"/>
      <c r="ET155" s="115"/>
      <c r="EU155" s="115"/>
      <c r="EV155" s="115"/>
      <c r="EW155" s="115"/>
      <c r="EX155" s="115"/>
      <c r="EY155" s="115"/>
      <c r="EZ155" s="115"/>
      <c r="FA155" s="115"/>
      <c r="FB155" s="115"/>
      <c r="FC155" s="115"/>
      <c r="FD155" s="115"/>
      <c r="FE155" s="115"/>
      <c r="FF155" s="115"/>
      <c r="FG155" s="115"/>
      <c r="FH155" s="115"/>
      <c r="FI155" s="115"/>
      <c r="FJ155" s="115"/>
      <c r="FK155" s="115"/>
      <c r="FL155" s="115"/>
      <c r="FM155" s="242" t="e">
        <f t="shared" si="134"/>
        <v>#DIV/0!</v>
      </c>
      <c r="FN155" s="242" t="e">
        <f t="shared" si="135"/>
        <v>#DIV/0!</v>
      </c>
      <c r="FO155" s="243" t="e">
        <f t="shared" si="136"/>
        <v>#DIV/0!</v>
      </c>
      <c r="FP155" s="243" t="e">
        <f t="shared" si="137"/>
        <v>#DIV/0!</v>
      </c>
      <c r="FQ155" s="244" t="e">
        <f t="shared" si="138"/>
        <v>#DIV/0!</v>
      </c>
    </row>
    <row r="156" spans="2:173" ht="14" x14ac:dyDescent="0.15">
      <c r="B156" s="91" t="s">
        <v>352</v>
      </c>
      <c r="D156" s="206"/>
      <c r="E156" s="206"/>
      <c r="F156" s="206"/>
      <c r="G156" s="1"/>
      <c r="H156" s="1"/>
      <c r="I156" s="207"/>
      <c r="J156" s="208"/>
      <c r="K156" s="208"/>
      <c r="AH156" s="165"/>
      <c r="AI156" s="165"/>
      <c r="AJ156" s="165"/>
      <c r="AK156" s="207"/>
      <c r="AL156" s="1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BB156" s="219"/>
      <c r="BC156" s="219"/>
      <c r="BD156" s="219"/>
      <c r="BE156" s="177"/>
      <c r="BF156" s="1"/>
      <c r="BG156" s="219"/>
      <c r="BH156" s="219"/>
      <c r="BI156" s="219"/>
      <c r="BJ156" s="219"/>
      <c r="BK156" s="219"/>
      <c r="BL156" s="177"/>
      <c r="BM156" s="177"/>
      <c r="BN156" s="177"/>
      <c r="BO156" s="177"/>
      <c r="BP156" s="177"/>
      <c r="BS156" s="207"/>
      <c r="BT156" s="115"/>
      <c r="BU156" s="208"/>
      <c r="BV156" s="1"/>
      <c r="BW156" s="208"/>
      <c r="BX156" s="207"/>
      <c r="CV156" s="228"/>
      <c r="CW156" s="107">
        <f t="shared" si="114"/>
        <v>0</v>
      </c>
      <c r="CX156" s="107">
        <f t="shared" si="115"/>
        <v>0</v>
      </c>
      <c r="CY156" s="107">
        <f t="shared" si="116"/>
        <v>0</v>
      </c>
      <c r="CZ156" s="107">
        <f t="shared" si="117"/>
        <v>0</v>
      </c>
      <c r="DA156" s="107">
        <f t="shared" si="118"/>
        <v>0</v>
      </c>
      <c r="DB156" s="107">
        <f t="shared" si="119"/>
        <v>0</v>
      </c>
      <c r="DC156" s="107">
        <f t="shared" si="139"/>
        <v>0</v>
      </c>
      <c r="DD156" s="107">
        <f t="shared" si="125"/>
        <v>0</v>
      </c>
      <c r="DE156" s="107">
        <f t="shared" si="156"/>
        <v>0</v>
      </c>
      <c r="DF156" s="107">
        <f t="shared" si="126"/>
        <v>0</v>
      </c>
      <c r="DG156" s="107">
        <f t="shared" si="127"/>
        <v>0</v>
      </c>
      <c r="DH156" s="228">
        <f t="shared" si="128"/>
        <v>0</v>
      </c>
      <c r="DI156" s="228"/>
      <c r="DJ156" s="228"/>
      <c r="DK156" s="228"/>
      <c r="DL156" s="228"/>
      <c r="DM156" s="228"/>
      <c r="DN156" s="228"/>
      <c r="DO156" s="228"/>
      <c r="DQ156" s="1">
        <f t="shared" si="122"/>
        <v>0</v>
      </c>
      <c r="DR156" s="1">
        <f t="shared" si="120"/>
        <v>0</v>
      </c>
      <c r="DS156" s="1">
        <f t="shared" si="140"/>
        <v>0</v>
      </c>
      <c r="DT156" s="1">
        <f t="shared" si="141"/>
        <v>0</v>
      </c>
      <c r="DV156" s="236"/>
      <c r="DW156" s="237">
        <f t="shared" si="154"/>
        <v>0</v>
      </c>
      <c r="DX156" s="238">
        <v>0</v>
      </c>
      <c r="DY156" s="210"/>
      <c r="DZ156" s="210"/>
      <c r="EA156" s="239"/>
      <c r="EB156" s="240">
        <f t="shared" si="131"/>
        <v>0</v>
      </c>
      <c r="EC156" s="208"/>
      <c r="ED156" s="208"/>
      <c r="EE156" s="251">
        <f t="shared" si="155"/>
        <v>1225800</v>
      </c>
      <c r="EF156" s="115">
        <v>2700</v>
      </c>
      <c r="EG156" s="398"/>
      <c r="EH156" s="208"/>
      <c r="EI156" s="178"/>
      <c r="EJ156" s="115"/>
      <c r="EK156" s="115"/>
      <c r="EL156" s="115"/>
      <c r="EM156" s="115"/>
      <c r="EN156" s="115"/>
      <c r="EO156" s="115"/>
      <c r="EP156" s="115"/>
      <c r="EQ156" s="115"/>
      <c r="ER156" s="115"/>
      <c r="ES156" s="115"/>
      <c r="ET156" s="115"/>
      <c r="EU156" s="115"/>
      <c r="EV156" s="115"/>
      <c r="EW156" s="115"/>
      <c r="EX156" s="115"/>
      <c r="EY156" s="115"/>
      <c r="EZ156" s="115"/>
      <c r="FA156" s="115"/>
      <c r="FB156" s="115"/>
      <c r="FC156" s="115"/>
      <c r="FD156" s="115"/>
      <c r="FE156" s="115"/>
      <c r="FF156" s="115"/>
      <c r="FG156" s="115"/>
      <c r="FH156" s="115"/>
      <c r="FI156" s="115"/>
      <c r="FJ156" s="115"/>
      <c r="FK156" s="115"/>
      <c r="FL156" s="115"/>
      <c r="FM156" s="242" t="e">
        <f t="shared" si="134"/>
        <v>#DIV/0!</v>
      </c>
      <c r="FN156" s="242" t="e">
        <f t="shared" si="135"/>
        <v>#DIV/0!</v>
      </c>
      <c r="FO156" s="243" t="e">
        <f t="shared" si="136"/>
        <v>#DIV/0!</v>
      </c>
      <c r="FP156" s="243" t="e">
        <f t="shared" si="137"/>
        <v>#DIV/0!</v>
      </c>
      <c r="FQ156" s="244" t="e">
        <f t="shared" si="138"/>
        <v>#DIV/0!</v>
      </c>
    </row>
    <row r="157" spans="2:173" ht="12.75" customHeight="1" x14ac:dyDescent="0.15">
      <c r="B157" s="93" t="s">
        <v>24</v>
      </c>
      <c r="D157" s="212">
        <v>0</v>
      </c>
      <c r="E157" s="212">
        <v>0</v>
      </c>
      <c r="F157" s="212">
        <v>0</v>
      </c>
      <c r="G157" s="1"/>
      <c r="H157" s="1"/>
      <c r="I157" s="165">
        <v>0</v>
      </c>
      <c r="J157" s="208">
        <v>0</v>
      </c>
      <c r="K157" s="208">
        <v>0</v>
      </c>
      <c r="AH157" s="165">
        <v>0</v>
      </c>
      <c r="AI157" s="165">
        <v>0</v>
      </c>
      <c r="AJ157" s="165">
        <v>0</v>
      </c>
      <c r="AK157" s="165">
        <v>0</v>
      </c>
      <c r="AL157" s="1"/>
      <c r="AM157" s="165">
        <v>0</v>
      </c>
      <c r="AN157" s="165">
        <v>0</v>
      </c>
      <c r="AO157" s="165">
        <v>0</v>
      </c>
      <c r="AP157" s="165"/>
      <c r="AQ157" s="165"/>
      <c r="AR157" s="165">
        <v>0</v>
      </c>
      <c r="AS157" s="165"/>
      <c r="AT157" s="165"/>
      <c r="AU157" s="165"/>
      <c r="AV157" s="165"/>
      <c r="BB157" s="174">
        <v>0</v>
      </c>
      <c r="BC157" s="174">
        <v>0</v>
      </c>
      <c r="BD157" s="174">
        <v>0</v>
      </c>
      <c r="BE157" s="174">
        <v>0</v>
      </c>
      <c r="BF157" s="171"/>
      <c r="BG157" s="174">
        <v>0</v>
      </c>
      <c r="BH157" s="174">
        <v>0</v>
      </c>
      <c r="BI157" s="174">
        <v>0</v>
      </c>
      <c r="BJ157" s="174"/>
      <c r="BK157" s="174"/>
      <c r="BL157" s="174">
        <v>0</v>
      </c>
      <c r="BM157" s="174"/>
      <c r="BN157" s="174"/>
      <c r="BO157" s="174"/>
      <c r="BP157" s="174"/>
      <c r="BS157" s="227">
        <v>0</v>
      </c>
      <c r="BT157" s="208">
        <v>0</v>
      </c>
      <c r="BU157" s="208">
        <v>0</v>
      </c>
      <c r="BV157" s="1"/>
      <c r="BW157" s="208">
        <v>0</v>
      </c>
      <c r="BX157" s="227">
        <v>0</v>
      </c>
      <c r="CV157" s="228"/>
      <c r="CW157" s="107">
        <f t="shared" si="114"/>
        <v>0</v>
      </c>
      <c r="CX157" s="107">
        <f t="shared" si="115"/>
        <v>0</v>
      </c>
      <c r="CY157" s="107">
        <f t="shared" si="116"/>
        <v>0</v>
      </c>
      <c r="CZ157" s="107">
        <f t="shared" si="117"/>
        <v>0</v>
      </c>
      <c r="DA157" s="107">
        <f t="shared" si="118"/>
        <v>0</v>
      </c>
      <c r="DB157" s="107">
        <f t="shared" si="119"/>
        <v>0</v>
      </c>
      <c r="DC157" s="107">
        <f t="shared" si="139"/>
        <v>0</v>
      </c>
      <c r="DD157" s="107">
        <f t="shared" si="125"/>
        <v>0</v>
      </c>
      <c r="DE157" s="107">
        <f t="shared" si="156"/>
        <v>0</v>
      </c>
      <c r="DF157" s="107">
        <f t="shared" si="126"/>
        <v>0</v>
      </c>
      <c r="DG157" s="107">
        <f t="shared" si="127"/>
        <v>0</v>
      </c>
      <c r="DH157" s="228">
        <f t="shared" si="128"/>
        <v>0</v>
      </c>
      <c r="DI157" s="228"/>
      <c r="DJ157" s="228"/>
      <c r="DK157" s="228"/>
      <c r="DL157" s="228"/>
      <c r="DM157" s="228"/>
      <c r="DN157" s="228"/>
      <c r="DO157" s="228"/>
      <c r="DQ157" s="1">
        <f t="shared" si="122"/>
        <v>0</v>
      </c>
      <c r="DR157" s="1">
        <f t="shared" si="120"/>
        <v>0</v>
      </c>
      <c r="DS157" s="1">
        <f t="shared" si="140"/>
        <v>0</v>
      </c>
      <c r="DT157" s="1">
        <f t="shared" si="141"/>
        <v>0</v>
      </c>
      <c r="DV157" s="236"/>
      <c r="DW157" s="237">
        <f t="shared" si="154"/>
        <v>2200</v>
      </c>
      <c r="DX157" s="238">
        <v>1.1000000000000001</v>
      </c>
      <c r="DY157" s="212">
        <v>0</v>
      </c>
      <c r="DZ157" s="212">
        <v>0</v>
      </c>
      <c r="EA157" s="252">
        <v>0</v>
      </c>
      <c r="EB157" s="240">
        <f t="shared" si="131"/>
        <v>0</v>
      </c>
      <c r="EC157" s="208">
        <v>0</v>
      </c>
      <c r="ED157" s="208">
        <v>0</v>
      </c>
      <c r="EE157" s="208">
        <v>0</v>
      </c>
      <c r="EF157" s="208"/>
      <c r="EG157" s="398"/>
      <c r="EH157" s="208">
        <v>0</v>
      </c>
      <c r="EI157" s="178">
        <f>IF(AR157="","",AR157*BL157)</f>
        <v>0</v>
      </c>
      <c r="EJ157" s="115"/>
      <c r="EK157" s="242">
        <v>0.72</v>
      </c>
      <c r="EL157" s="242"/>
      <c r="EM157" s="242"/>
      <c r="EN157" s="242"/>
      <c r="EO157" s="242"/>
      <c r="EP157" s="242"/>
      <c r="EQ157" s="242"/>
      <c r="ER157" s="115"/>
      <c r="ES157" s="115"/>
      <c r="ET157" s="115"/>
      <c r="EU157" s="115"/>
      <c r="EV157" s="115"/>
      <c r="EW157" s="115"/>
      <c r="EX157" s="115"/>
      <c r="EY157" s="115"/>
      <c r="EZ157" s="115"/>
      <c r="FA157" s="115"/>
      <c r="FB157" s="115"/>
      <c r="FC157" s="115"/>
      <c r="FD157" s="115"/>
      <c r="FE157" s="115"/>
      <c r="FF157" s="115"/>
      <c r="FG157" s="115"/>
      <c r="FH157" s="115"/>
      <c r="FI157" s="115"/>
      <c r="FJ157" s="115"/>
      <c r="FK157" s="115"/>
      <c r="FL157" s="115"/>
      <c r="FM157" s="242" t="e">
        <f t="shared" si="134"/>
        <v>#DIV/0!</v>
      </c>
      <c r="FN157" s="242" t="e">
        <f t="shared" si="135"/>
        <v>#DIV/0!</v>
      </c>
      <c r="FO157" s="243" t="e">
        <f t="shared" si="136"/>
        <v>#DIV/0!</v>
      </c>
      <c r="FP157" s="243" t="e">
        <f t="shared" si="137"/>
        <v>#DIV/0!</v>
      </c>
      <c r="FQ157" s="244" t="e">
        <f t="shared" si="138"/>
        <v>#DIV/0!</v>
      </c>
    </row>
    <row r="158" spans="2:173" ht="12.75" customHeight="1" x14ac:dyDescent="0.15">
      <c r="B158" s="93" t="s">
        <v>57</v>
      </c>
      <c r="D158" s="212">
        <v>0</v>
      </c>
      <c r="E158" s="212">
        <v>0</v>
      </c>
      <c r="F158" s="212">
        <v>0</v>
      </c>
      <c r="G158" s="1"/>
      <c r="H158" s="1"/>
      <c r="I158" s="165">
        <v>0</v>
      </c>
      <c r="J158" s="208">
        <v>0</v>
      </c>
      <c r="K158" s="208">
        <v>0</v>
      </c>
      <c r="AH158" s="165">
        <v>0</v>
      </c>
      <c r="AI158" s="165">
        <v>0</v>
      </c>
      <c r="AJ158" s="165">
        <v>0</v>
      </c>
      <c r="AK158" s="165">
        <v>0</v>
      </c>
      <c r="AL158" s="1"/>
      <c r="AM158" s="165">
        <v>0</v>
      </c>
      <c r="AN158" s="165">
        <v>0</v>
      </c>
      <c r="AO158" s="165">
        <v>0</v>
      </c>
      <c r="AP158" s="165"/>
      <c r="AQ158" s="165"/>
      <c r="AR158" s="165">
        <v>0</v>
      </c>
      <c r="AS158" s="165"/>
      <c r="AT158" s="165"/>
      <c r="AU158" s="165"/>
      <c r="AV158" s="165"/>
      <c r="BB158" s="174">
        <v>0</v>
      </c>
      <c r="BC158" s="174">
        <v>0</v>
      </c>
      <c r="BD158" s="174">
        <v>0</v>
      </c>
      <c r="BE158" s="174">
        <v>0</v>
      </c>
      <c r="BF158" s="171"/>
      <c r="BG158" s="174">
        <v>0</v>
      </c>
      <c r="BH158" s="174">
        <v>0</v>
      </c>
      <c r="BI158" s="174">
        <v>0</v>
      </c>
      <c r="BJ158" s="174"/>
      <c r="BK158" s="174"/>
      <c r="BL158" s="174">
        <v>0</v>
      </c>
      <c r="BM158" s="174"/>
      <c r="BN158" s="174"/>
      <c r="BO158" s="174"/>
      <c r="BP158" s="174"/>
      <c r="BS158" s="227">
        <v>0</v>
      </c>
      <c r="BT158" s="208">
        <v>0</v>
      </c>
      <c r="BU158" s="208">
        <v>0</v>
      </c>
      <c r="BV158" s="1"/>
      <c r="BW158" s="208">
        <v>0</v>
      </c>
      <c r="BX158" s="227">
        <v>0</v>
      </c>
      <c r="CV158" s="228"/>
      <c r="CW158" s="107">
        <f t="shared" si="114"/>
        <v>0</v>
      </c>
      <c r="CX158" s="107">
        <f t="shared" si="115"/>
        <v>0</v>
      </c>
      <c r="CY158" s="107">
        <f t="shared" si="116"/>
        <v>0</v>
      </c>
      <c r="CZ158" s="107">
        <f t="shared" si="117"/>
        <v>0</v>
      </c>
      <c r="DA158" s="107">
        <f t="shared" si="118"/>
        <v>0</v>
      </c>
      <c r="DB158" s="107">
        <f t="shared" si="119"/>
        <v>0</v>
      </c>
      <c r="DC158" s="107">
        <f t="shared" si="139"/>
        <v>0</v>
      </c>
      <c r="DD158" s="107">
        <f t="shared" si="125"/>
        <v>0</v>
      </c>
      <c r="DE158" s="107">
        <f t="shared" si="156"/>
        <v>0</v>
      </c>
      <c r="DF158" s="107">
        <f t="shared" si="126"/>
        <v>0</v>
      </c>
      <c r="DG158" s="107">
        <f t="shared" si="127"/>
        <v>0</v>
      </c>
      <c r="DH158" s="228">
        <f t="shared" si="128"/>
        <v>0</v>
      </c>
      <c r="DI158" s="228"/>
      <c r="DJ158" s="228"/>
      <c r="DK158" s="228"/>
      <c r="DL158" s="228"/>
      <c r="DM158" s="228"/>
      <c r="DN158" s="228"/>
      <c r="DO158" s="228"/>
      <c r="DQ158" s="1">
        <f t="shared" si="122"/>
        <v>0</v>
      </c>
      <c r="DR158" s="1">
        <f t="shared" si="120"/>
        <v>0</v>
      </c>
      <c r="DS158" s="1">
        <f t="shared" si="140"/>
        <v>0</v>
      </c>
      <c r="DT158" s="1">
        <f t="shared" si="141"/>
        <v>0</v>
      </c>
      <c r="DV158" s="236"/>
      <c r="DW158" s="237">
        <f t="shared" si="154"/>
        <v>2200</v>
      </c>
      <c r="DX158" s="238">
        <v>1.1000000000000001</v>
      </c>
      <c r="DY158" s="212">
        <v>0</v>
      </c>
      <c r="DZ158" s="212">
        <v>0</v>
      </c>
      <c r="EA158" s="252">
        <v>0</v>
      </c>
      <c r="EB158" s="240">
        <f t="shared" si="131"/>
        <v>0</v>
      </c>
      <c r="EC158" s="208">
        <v>0</v>
      </c>
      <c r="ED158" s="208">
        <v>0</v>
      </c>
      <c r="EE158" s="208">
        <v>0</v>
      </c>
      <c r="EF158" s="208"/>
      <c r="EG158" s="398"/>
      <c r="EH158" s="208">
        <v>0</v>
      </c>
      <c r="EI158" s="178">
        <f>IF(AR158="","",AR158*BL158)</f>
        <v>0</v>
      </c>
      <c r="EJ158" s="115"/>
      <c r="EK158" s="242"/>
      <c r="EL158" s="242"/>
      <c r="EM158" s="242"/>
      <c r="EN158" s="253">
        <v>0.252</v>
      </c>
      <c r="EO158" s="242"/>
      <c r="EP158" s="242"/>
      <c r="EQ158" s="242"/>
      <c r="ER158" s="115"/>
      <c r="ES158" s="115"/>
      <c r="ET158" s="115"/>
      <c r="EU158" s="115"/>
      <c r="EV158" s="115"/>
      <c r="EW158" s="115"/>
      <c r="EX158" s="115"/>
      <c r="EY158" s="115"/>
      <c r="EZ158" s="115"/>
      <c r="FA158" s="115"/>
      <c r="FB158" s="115"/>
      <c r="FC158" s="115"/>
      <c r="FD158" s="115"/>
      <c r="FE158" s="115"/>
      <c r="FF158" s="115"/>
      <c r="FG158" s="115"/>
      <c r="FH158" s="115"/>
      <c r="FI158" s="115"/>
      <c r="FJ158" s="115"/>
      <c r="FK158" s="115"/>
      <c r="FL158" s="115"/>
      <c r="FM158" s="242" t="e">
        <f t="shared" si="134"/>
        <v>#DIV/0!</v>
      </c>
      <c r="FN158" s="242" t="e">
        <f t="shared" si="135"/>
        <v>#DIV/0!</v>
      </c>
      <c r="FO158" s="243" t="e">
        <f t="shared" si="136"/>
        <v>#DIV/0!</v>
      </c>
      <c r="FP158" s="243" t="e">
        <f t="shared" si="137"/>
        <v>#DIV/0!</v>
      </c>
      <c r="FQ158" s="244" t="e">
        <f t="shared" si="138"/>
        <v>#DIV/0!</v>
      </c>
    </row>
    <row r="159" spans="2:173" ht="12.75" customHeight="1" x14ac:dyDescent="0.15">
      <c r="B159" s="93" t="s">
        <v>134</v>
      </c>
      <c r="D159" s="212">
        <v>0</v>
      </c>
      <c r="E159" s="212">
        <v>0</v>
      </c>
      <c r="F159" s="212">
        <v>0</v>
      </c>
      <c r="G159" s="1"/>
      <c r="H159" s="1"/>
      <c r="I159" s="165">
        <v>0</v>
      </c>
      <c r="J159" s="208">
        <v>0</v>
      </c>
      <c r="K159" s="208">
        <v>0</v>
      </c>
      <c r="AH159" s="165">
        <v>0</v>
      </c>
      <c r="AI159" s="165">
        <v>0</v>
      </c>
      <c r="AJ159" s="165">
        <v>0</v>
      </c>
      <c r="AK159" s="165">
        <v>0</v>
      </c>
      <c r="AL159" s="1"/>
      <c r="AM159" s="165">
        <v>0</v>
      </c>
      <c r="AN159" s="165">
        <v>0</v>
      </c>
      <c r="AO159" s="165">
        <v>0</v>
      </c>
      <c r="AP159" s="165"/>
      <c r="AQ159" s="165"/>
      <c r="AR159" s="165">
        <v>0</v>
      </c>
      <c r="AS159" s="165"/>
      <c r="AT159" s="165"/>
      <c r="AU159" s="165"/>
      <c r="AV159" s="165"/>
      <c r="BB159" s="174">
        <v>0</v>
      </c>
      <c r="BC159" s="174">
        <v>0</v>
      </c>
      <c r="BD159" s="174">
        <v>0</v>
      </c>
      <c r="BE159" s="174">
        <v>0</v>
      </c>
      <c r="BF159" s="171"/>
      <c r="BG159" s="174">
        <v>0</v>
      </c>
      <c r="BH159" s="174">
        <v>0</v>
      </c>
      <c r="BI159" s="174">
        <v>0</v>
      </c>
      <c r="BJ159" s="174"/>
      <c r="BK159" s="174"/>
      <c r="BL159" s="174">
        <v>0</v>
      </c>
      <c r="BM159" s="174"/>
      <c r="BN159" s="174"/>
      <c r="BO159" s="174"/>
      <c r="BP159" s="174"/>
      <c r="BS159" s="227">
        <v>0</v>
      </c>
      <c r="BT159" s="115">
        <v>46.93</v>
      </c>
      <c r="BU159" s="115">
        <v>51.37</v>
      </c>
      <c r="BV159" s="1"/>
      <c r="BW159" s="208">
        <v>0</v>
      </c>
      <c r="BX159" s="227">
        <v>0</v>
      </c>
      <c r="CV159" s="228"/>
      <c r="CW159" s="107">
        <f t="shared" si="114"/>
        <v>0</v>
      </c>
      <c r="CX159" s="107">
        <f t="shared" si="115"/>
        <v>0</v>
      </c>
      <c r="CY159" s="107">
        <f t="shared" si="116"/>
        <v>0</v>
      </c>
      <c r="CZ159" s="107">
        <f t="shared" si="117"/>
        <v>0</v>
      </c>
      <c r="DA159" s="107">
        <f t="shared" si="118"/>
        <v>0</v>
      </c>
      <c r="DB159" s="107">
        <f t="shared" si="119"/>
        <v>0</v>
      </c>
      <c r="DC159" s="107">
        <f t="shared" si="139"/>
        <v>0</v>
      </c>
      <c r="DD159" s="107">
        <f t="shared" si="125"/>
        <v>0</v>
      </c>
      <c r="DE159" s="107">
        <f t="shared" si="156"/>
        <v>0</v>
      </c>
      <c r="DF159" s="107">
        <f t="shared" si="126"/>
        <v>0</v>
      </c>
      <c r="DG159" s="107">
        <f t="shared" si="127"/>
        <v>0</v>
      </c>
      <c r="DH159" s="228">
        <f t="shared" si="128"/>
        <v>0</v>
      </c>
      <c r="DI159" s="228"/>
      <c r="DJ159" s="228"/>
      <c r="DK159" s="228"/>
      <c r="DL159" s="228"/>
      <c r="DM159" s="228"/>
      <c r="DN159" s="228"/>
      <c r="DO159" s="228"/>
      <c r="DQ159" s="1">
        <f t="shared" si="122"/>
        <v>0</v>
      </c>
      <c r="DR159" s="1">
        <f t="shared" si="120"/>
        <v>0</v>
      </c>
      <c r="DS159" s="1">
        <f t="shared" si="140"/>
        <v>0</v>
      </c>
      <c r="DT159" s="1">
        <f t="shared" si="141"/>
        <v>0</v>
      </c>
      <c r="DV159" s="236"/>
      <c r="DW159" s="237">
        <f t="shared" si="154"/>
        <v>350</v>
      </c>
      <c r="DX159" s="238">
        <v>0.17499999999999999</v>
      </c>
      <c r="DY159" s="212">
        <v>0</v>
      </c>
      <c r="DZ159" s="212">
        <v>0</v>
      </c>
      <c r="EA159" s="239">
        <v>1</v>
      </c>
      <c r="EB159" s="240">
        <f t="shared" si="131"/>
        <v>0</v>
      </c>
      <c r="EC159" s="208">
        <v>0</v>
      </c>
      <c r="ED159" s="208">
        <v>0</v>
      </c>
      <c r="EE159" s="208">
        <v>0</v>
      </c>
      <c r="EF159" s="208"/>
      <c r="EG159" s="398"/>
      <c r="EH159" s="208">
        <v>0</v>
      </c>
      <c r="EI159" s="178">
        <f>IF(AR159="","",AR159*BL159)</f>
        <v>0</v>
      </c>
      <c r="EJ159" s="115"/>
      <c r="EK159" s="115"/>
      <c r="EL159" s="115"/>
      <c r="EM159" s="115"/>
      <c r="EN159" s="115"/>
      <c r="EO159" s="115"/>
      <c r="EP159" s="115"/>
      <c r="EQ159" s="115"/>
      <c r="ER159" s="115"/>
      <c r="ES159" s="115"/>
      <c r="ET159" s="115"/>
      <c r="EU159" s="115"/>
      <c r="EV159" s="115"/>
      <c r="EW159" s="115"/>
      <c r="EX159" s="115"/>
      <c r="EY159" s="115"/>
      <c r="EZ159" s="115"/>
      <c r="FA159" s="115"/>
      <c r="FB159" s="115"/>
      <c r="FC159" s="115"/>
      <c r="FD159" s="115"/>
      <c r="FE159" s="115"/>
      <c r="FF159" s="115"/>
      <c r="FG159" s="115"/>
      <c r="FH159" s="115"/>
      <c r="FI159" s="115"/>
      <c r="FJ159" s="115"/>
      <c r="FK159" s="115"/>
      <c r="FL159" s="115"/>
      <c r="FM159" s="242" t="e">
        <f t="shared" si="134"/>
        <v>#DIV/0!</v>
      </c>
      <c r="FN159" s="242" t="e">
        <f t="shared" si="135"/>
        <v>#DIV/0!</v>
      </c>
      <c r="FO159" s="243" t="e">
        <f t="shared" si="136"/>
        <v>#DIV/0!</v>
      </c>
      <c r="FP159" s="243" t="e">
        <f t="shared" si="137"/>
        <v>#DIV/0!</v>
      </c>
      <c r="FQ159" s="244" t="e">
        <f t="shared" si="138"/>
        <v>#DIV/0!</v>
      </c>
    </row>
    <row r="160" spans="2:173" ht="12.75" customHeight="1" x14ac:dyDescent="0.15">
      <c r="B160" s="93" t="s">
        <v>135</v>
      </c>
      <c r="D160" s="212">
        <v>0</v>
      </c>
      <c r="E160" s="212">
        <v>0</v>
      </c>
      <c r="F160" s="212">
        <v>0</v>
      </c>
      <c r="G160" s="1"/>
      <c r="H160" s="1"/>
      <c r="I160" s="165">
        <v>0</v>
      </c>
      <c r="J160" s="208">
        <v>0</v>
      </c>
      <c r="K160" s="208">
        <v>0</v>
      </c>
      <c r="AH160" s="165">
        <v>0</v>
      </c>
      <c r="AI160" s="165">
        <v>0</v>
      </c>
      <c r="AJ160" s="165">
        <v>0</v>
      </c>
      <c r="AK160" s="165">
        <v>0</v>
      </c>
      <c r="AL160" s="1"/>
      <c r="AM160" s="165">
        <v>0</v>
      </c>
      <c r="AN160" s="165">
        <v>0</v>
      </c>
      <c r="AO160" s="165">
        <v>0</v>
      </c>
      <c r="AP160" s="165"/>
      <c r="AQ160" s="165"/>
      <c r="AR160" s="165">
        <v>0</v>
      </c>
      <c r="AS160" s="165"/>
      <c r="AT160" s="165"/>
      <c r="AU160" s="165"/>
      <c r="AV160" s="165"/>
      <c r="BB160" s="174">
        <v>0</v>
      </c>
      <c r="BC160" s="174">
        <v>0</v>
      </c>
      <c r="BD160" s="174">
        <v>0</v>
      </c>
      <c r="BE160" s="174">
        <v>0</v>
      </c>
      <c r="BF160" s="171"/>
      <c r="BG160" s="174">
        <v>0</v>
      </c>
      <c r="BH160" s="174">
        <v>0</v>
      </c>
      <c r="BI160" s="174">
        <v>0</v>
      </c>
      <c r="BJ160" s="174"/>
      <c r="BK160" s="174"/>
      <c r="BL160" s="174">
        <v>0</v>
      </c>
      <c r="BM160" s="174"/>
      <c r="BN160" s="174"/>
      <c r="BO160" s="174"/>
      <c r="BP160" s="174"/>
      <c r="BS160" s="225">
        <v>27.26</v>
      </c>
      <c r="BT160" s="115">
        <v>48.22</v>
      </c>
      <c r="BU160" s="208">
        <v>0</v>
      </c>
      <c r="BV160" s="1"/>
      <c r="BW160" s="208">
        <v>0</v>
      </c>
      <c r="BX160" s="227">
        <v>0</v>
      </c>
      <c r="CV160" s="228"/>
      <c r="CW160" s="107">
        <f t="shared" si="114"/>
        <v>0</v>
      </c>
      <c r="CX160" s="107">
        <f t="shared" si="115"/>
        <v>0</v>
      </c>
      <c r="CY160" s="107">
        <f t="shared" si="116"/>
        <v>0</v>
      </c>
      <c r="CZ160" s="107">
        <f t="shared" si="117"/>
        <v>0</v>
      </c>
      <c r="DA160" s="107">
        <f t="shared" si="118"/>
        <v>0</v>
      </c>
      <c r="DB160" s="107">
        <f t="shared" si="119"/>
        <v>0</v>
      </c>
      <c r="DC160" s="107">
        <f t="shared" si="139"/>
        <v>0</v>
      </c>
      <c r="DD160" s="107">
        <f t="shared" si="125"/>
        <v>0</v>
      </c>
      <c r="DE160" s="107">
        <f t="shared" si="156"/>
        <v>0</v>
      </c>
      <c r="DF160" s="107">
        <f t="shared" si="126"/>
        <v>0</v>
      </c>
      <c r="DG160" s="107">
        <f t="shared" si="127"/>
        <v>0</v>
      </c>
      <c r="DH160" s="228">
        <f t="shared" si="128"/>
        <v>0</v>
      </c>
      <c r="DI160" s="228"/>
      <c r="DJ160" s="228"/>
      <c r="DK160" s="228"/>
      <c r="DL160" s="228"/>
      <c r="DM160" s="228"/>
      <c r="DN160" s="228"/>
      <c r="DO160" s="228"/>
      <c r="DQ160" s="1">
        <f t="shared" si="122"/>
        <v>0</v>
      </c>
      <c r="DR160" s="1">
        <f t="shared" si="120"/>
        <v>0</v>
      </c>
      <c r="DS160" s="1">
        <f t="shared" si="140"/>
        <v>0</v>
      </c>
      <c r="DT160" s="1">
        <f t="shared" si="141"/>
        <v>0</v>
      </c>
      <c r="DV160" s="236"/>
      <c r="DW160" s="237">
        <f t="shared" si="154"/>
        <v>400</v>
      </c>
      <c r="DX160" s="238">
        <v>0.2</v>
      </c>
      <c r="DY160" s="212">
        <v>0</v>
      </c>
      <c r="DZ160" s="212">
        <v>0</v>
      </c>
      <c r="EA160" s="239">
        <v>1</v>
      </c>
      <c r="EB160" s="240">
        <f t="shared" si="131"/>
        <v>0</v>
      </c>
      <c r="EC160" s="208">
        <v>0</v>
      </c>
      <c r="ED160" s="208">
        <v>0</v>
      </c>
      <c r="EE160" s="208">
        <v>0</v>
      </c>
      <c r="EF160" s="208"/>
      <c r="EG160" s="398"/>
      <c r="EH160" s="208">
        <v>0</v>
      </c>
      <c r="EI160" s="178">
        <f>IF(AR160="","",AR160*BL160)</f>
        <v>0</v>
      </c>
      <c r="EJ160" s="115"/>
      <c r="EK160" s="115"/>
      <c r="EL160" s="115"/>
      <c r="EM160" s="115"/>
      <c r="EN160" s="115"/>
      <c r="EO160" s="115"/>
      <c r="EP160" s="115"/>
      <c r="EQ160" s="115"/>
      <c r="ER160" s="115"/>
      <c r="ES160" s="115"/>
      <c r="ET160" s="115"/>
      <c r="EU160" s="115"/>
      <c r="EV160" s="115"/>
      <c r="EW160" s="115"/>
      <c r="EX160" s="115"/>
      <c r="EY160" s="115"/>
      <c r="EZ160" s="115"/>
      <c r="FA160" s="115"/>
      <c r="FB160" s="115"/>
      <c r="FC160" s="115"/>
      <c r="FD160" s="115"/>
      <c r="FE160" s="115"/>
      <c r="FF160" s="115"/>
      <c r="FG160" s="115"/>
      <c r="FH160" s="115"/>
      <c r="FI160" s="115"/>
      <c r="FJ160" s="115"/>
      <c r="FK160" s="115"/>
      <c r="FL160" s="115"/>
      <c r="FM160" s="242" t="e">
        <f t="shared" si="134"/>
        <v>#DIV/0!</v>
      </c>
      <c r="FN160" s="242" t="e">
        <f t="shared" si="135"/>
        <v>#DIV/0!</v>
      </c>
      <c r="FO160" s="243" t="e">
        <f t="shared" si="136"/>
        <v>#DIV/0!</v>
      </c>
      <c r="FP160" s="243" t="e">
        <f t="shared" si="137"/>
        <v>#DIV/0!</v>
      </c>
      <c r="FQ160" s="244" t="e">
        <f t="shared" si="138"/>
        <v>#DIV/0!</v>
      </c>
    </row>
    <row r="161" spans="1:204" ht="14" x14ac:dyDescent="0.15">
      <c r="B161" s="90" t="s">
        <v>63</v>
      </c>
      <c r="D161" s="119"/>
      <c r="E161" s="119"/>
      <c r="F161" s="119"/>
      <c r="G161" s="1"/>
      <c r="H161" s="1"/>
      <c r="I161" s="116"/>
      <c r="J161" s="115"/>
      <c r="K161" s="115"/>
      <c r="AH161" s="116"/>
      <c r="AI161" s="116"/>
      <c r="AJ161" s="116"/>
      <c r="AK161" s="116"/>
      <c r="AL161" s="1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BB161" s="172"/>
      <c r="BC161" s="172"/>
      <c r="BD161" s="172"/>
      <c r="BE161" s="172"/>
      <c r="BF161" s="171"/>
      <c r="BG161" s="172"/>
      <c r="BH161" s="172"/>
      <c r="BI161" s="172"/>
      <c r="BJ161" s="172"/>
      <c r="BK161" s="172"/>
      <c r="BL161" s="172"/>
      <c r="BM161" s="172"/>
      <c r="BN161" s="172"/>
      <c r="BO161" s="172"/>
      <c r="BP161" s="172"/>
      <c r="BS161" s="116"/>
      <c r="BT161" s="115"/>
      <c r="BU161" s="115"/>
      <c r="BV161" s="1"/>
      <c r="BW161" s="115"/>
      <c r="BX161" s="116"/>
      <c r="CV161" s="228"/>
      <c r="CW161" s="107">
        <f t="shared" si="114"/>
        <v>0</v>
      </c>
      <c r="CX161" s="107">
        <f t="shared" si="115"/>
        <v>0</v>
      </c>
      <c r="CY161" s="107">
        <f t="shared" si="116"/>
        <v>0</v>
      </c>
      <c r="CZ161" s="107">
        <f t="shared" si="117"/>
        <v>0</v>
      </c>
      <c r="DA161" s="107">
        <f t="shared" si="118"/>
        <v>0</v>
      </c>
      <c r="DB161" s="107">
        <f t="shared" si="119"/>
        <v>0</v>
      </c>
      <c r="DC161" s="107">
        <f t="shared" si="139"/>
        <v>0</v>
      </c>
      <c r="DD161" s="107">
        <f t="shared" si="125"/>
        <v>0</v>
      </c>
      <c r="DE161" s="107">
        <f t="shared" si="156"/>
        <v>0</v>
      </c>
      <c r="DF161" s="107">
        <f t="shared" si="126"/>
        <v>0</v>
      </c>
      <c r="DG161" s="107">
        <f t="shared" si="127"/>
        <v>0</v>
      </c>
      <c r="DH161" s="228">
        <f t="shared" si="128"/>
        <v>0</v>
      </c>
      <c r="DI161" s="228"/>
      <c r="DJ161" s="228"/>
      <c r="DK161" s="228"/>
      <c r="DL161" s="228"/>
      <c r="DM161" s="228"/>
      <c r="DN161" s="228"/>
      <c r="DO161" s="228"/>
      <c r="DQ161" s="1">
        <f t="shared" si="122"/>
        <v>0</v>
      </c>
      <c r="DR161" s="1">
        <f t="shared" si="120"/>
        <v>0</v>
      </c>
      <c r="DS161" s="1">
        <f t="shared" si="140"/>
        <v>0</v>
      </c>
      <c r="DT161" s="1">
        <f t="shared" si="141"/>
        <v>0</v>
      </c>
      <c r="DW161" s="237">
        <f t="shared" si="154"/>
        <v>2000</v>
      </c>
      <c r="DX161" s="238">
        <v>1</v>
      </c>
      <c r="EA161" s="243"/>
      <c r="EB161" s="240">
        <f t="shared" si="131"/>
        <v>0</v>
      </c>
      <c r="EG161" s="400"/>
      <c r="EH161" s="119"/>
      <c r="EM161" s="254"/>
      <c r="EN161" s="240">
        <f>BX161*EM161</f>
        <v>0</v>
      </c>
      <c r="EP161" s="115"/>
      <c r="ER161" s="115"/>
      <c r="EV161" s="115"/>
      <c r="EW161" s="242"/>
      <c r="EX161" s="242"/>
      <c r="EY161" s="115"/>
      <c r="EZ161" s="115"/>
      <c r="FI161" s="115"/>
      <c r="FM161" s="242" t="e">
        <f t="shared" si="134"/>
        <v>#DIV/0!</v>
      </c>
      <c r="FN161" s="242" t="e">
        <f t="shared" si="135"/>
        <v>#DIV/0!</v>
      </c>
      <c r="FO161" s="243" t="e">
        <f t="shared" si="136"/>
        <v>#DIV/0!</v>
      </c>
      <c r="FP161" s="243" t="e">
        <f t="shared" si="137"/>
        <v>#DIV/0!</v>
      </c>
      <c r="FQ161" s="244" t="e">
        <f t="shared" si="138"/>
        <v>#DIV/0!</v>
      </c>
      <c r="FR161" s="37"/>
      <c r="FS161" s="37"/>
      <c r="FT161" s="37"/>
      <c r="FU161" s="37"/>
      <c r="FV161" s="37"/>
      <c r="FW161" s="37"/>
      <c r="FX161" s="37"/>
      <c r="FY161" s="37"/>
      <c r="FZ161" s="37"/>
      <c r="GA161" s="37"/>
      <c r="GB161" s="37"/>
      <c r="GC161" s="37"/>
      <c r="GD161" s="37"/>
      <c r="GE161" s="37"/>
      <c r="GF161" s="37"/>
      <c r="GG161" s="37"/>
      <c r="GH161" s="37"/>
      <c r="GI161" s="37"/>
      <c r="GJ161" s="37"/>
      <c r="GK161" s="37"/>
      <c r="GL161" s="37"/>
      <c r="GM161" s="37"/>
      <c r="GN161" s="37"/>
      <c r="GO161" s="37"/>
      <c r="GP161" s="37"/>
      <c r="GQ161" s="37"/>
      <c r="GR161" s="37"/>
      <c r="GS161" s="37"/>
      <c r="GT161" s="37"/>
      <c r="GU161" s="37"/>
      <c r="GV161" s="37"/>
    </row>
    <row r="162" spans="1:204" ht="14" x14ac:dyDescent="0.15">
      <c r="B162" s="90" t="s">
        <v>64</v>
      </c>
      <c r="D162" s="119"/>
      <c r="E162" s="119"/>
      <c r="F162" s="119"/>
      <c r="G162" s="1"/>
      <c r="H162" s="1"/>
      <c r="I162" s="116"/>
      <c r="J162" s="115"/>
      <c r="K162" s="115"/>
      <c r="AH162" s="116"/>
      <c r="AI162" s="116"/>
      <c r="AJ162" s="116"/>
      <c r="AK162" s="116"/>
      <c r="AL162" s="1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BB162" s="172"/>
      <c r="BC162" s="172"/>
      <c r="BD162" s="172"/>
      <c r="BE162" s="172"/>
      <c r="BF162" s="171"/>
      <c r="BG162" s="172"/>
      <c r="BH162" s="172"/>
      <c r="BI162" s="172"/>
      <c r="BJ162" s="172"/>
      <c r="BK162" s="172"/>
      <c r="BL162" s="172"/>
      <c r="BM162" s="172"/>
      <c r="BN162" s="172"/>
      <c r="BO162" s="172"/>
      <c r="BP162" s="172"/>
      <c r="BS162" s="116"/>
      <c r="BT162" s="115"/>
      <c r="BU162" s="115"/>
      <c r="BV162" s="1"/>
      <c r="BW162" s="115"/>
      <c r="BX162" s="116"/>
      <c r="CV162" s="228"/>
      <c r="CW162" s="107">
        <f t="shared" si="114"/>
        <v>0</v>
      </c>
      <c r="CX162" s="107">
        <f t="shared" si="115"/>
        <v>0</v>
      </c>
      <c r="CY162" s="107">
        <f t="shared" si="116"/>
        <v>0</v>
      </c>
      <c r="CZ162" s="107">
        <f t="shared" si="117"/>
        <v>0</v>
      </c>
      <c r="DA162" s="107">
        <f t="shared" si="118"/>
        <v>0</v>
      </c>
      <c r="DB162" s="107">
        <f t="shared" si="119"/>
        <v>0</v>
      </c>
      <c r="DC162" s="107">
        <f t="shared" si="139"/>
        <v>0</v>
      </c>
      <c r="DD162" s="107">
        <f t="shared" si="125"/>
        <v>0</v>
      </c>
      <c r="DE162" s="107">
        <f t="shared" si="156"/>
        <v>0</v>
      </c>
      <c r="DF162" s="107">
        <f t="shared" si="126"/>
        <v>0</v>
      </c>
      <c r="DG162" s="107">
        <f t="shared" si="127"/>
        <v>0</v>
      </c>
      <c r="DH162" s="228">
        <f t="shared" si="128"/>
        <v>0</v>
      </c>
      <c r="DI162" s="228"/>
      <c r="DJ162" s="228"/>
      <c r="DK162" s="228"/>
      <c r="DL162" s="228"/>
      <c r="DM162" s="228"/>
      <c r="DN162" s="228"/>
      <c r="DO162" s="228"/>
      <c r="DQ162" s="1">
        <f t="shared" si="122"/>
        <v>0</v>
      </c>
      <c r="DR162" s="1">
        <f t="shared" si="120"/>
        <v>0</v>
      </c>
      <c r="DS162" s="1">
        <f t="shared" si="140"/>
        <v>0</v>
      </c>
      <c r="DT162" s="1">
        <f t="shared" si="141"/>
        <v>0</v>
      </c>
      <c r="DW162" s="237">
        <f t="shared" si="154"/>
        <v>800</v>
      </c>
      <c r="DX162" s="238">
        <v>0.4</v>
      </c>
      <c r="EA162" s="243"/>
      <c r="EB162" s="240">
        <f t="shared" si="131"/>
        <v>0</v>
      </c>
      <c r="EG162" s="400"/>
      <c r="EH162" s="119"/>
      <c r="EM162" s="254"/>
      <c r="EN162" s="240">
        <f>BX162*EM162</f>
        <v>0</v>
      </c>
      <c r="EP162" s="115"/>
      <c r="ER162" s="115"/>
      <c r="EV162" s="115"/>
      <c r="EW162" s="242"/>
      <c r="EX162" s="242"/>
      <c r="EY162" s="115"/>
      <c r="EZ162" s="115"/>
      <c r="FI162" s="115"/>
      <c r="FM162" s="242" t="e">
        <f t="shared" si="134"/>
        <v>#DIV/0!</v>
      </c>
      <c r="FN162" s="242" t="e">
        <f t="shared" si="135"/>
        <v>#DIV/0!</v>
      </c>
      <c r="FO162" s="243" t="e">
        <f t="shared" si="136"/>
        <v>#DIV/0!</v>
      </c>
      <c r="FP162" s="243" t="e">
        <f t="shared" si="137"/>
        <v>#DIV/0!</v>
      </c>
      <c r="FQ162" s="244" t="e">
        <f t="shared" si="138"/>
        <v>#DIV/0!</v>
      </c>
      <c r="FR162" s="37"/>
      <c r="FS162" s="37"/>
      <c r="FT162" s="37"/>
      <c r="FU162" s="37"/>
      <c r="FV162" s="37"/>
      <c r="FW162" s="37"/>
      <c r="FX162" s="37"/>
      <c r="FY162" s="37"/>
      <c r="FZ162" s="37"/>
      <c r="GA162" s="37"/>
      <c r="GB162" s="37"/>
      <c r="GC162" s="37"/>
      <c r="GD162" s="37"/>
      <c r="GE162" s="37"/>
      <c r="GF162" s="37"/>
      <c r="GG162" s="37"/>
      <c r="GH162" s="37"/>
      <c r="GI162" s="37"/>
      <c r="GJ162" s="37"/>
      <c r="GK162" s="37"/>
      <c r="GL162" s="37"/>
      <c r="GM162" s="37"/>
      <c r="GN162" s="37"/>
      <c r="GO162" s="37"/>
      <c r="GP162" s="37"/>
      <c r="GQ162" s="37"/>
      <c r="GR162" s="37"/>
      <c r="GS162" s="37"/>
      <c r="GT162" s="37"/>
      <c r="GU162" s="37"/>
      <c r="GV162" s="37"/>
    </row>
    <row r="163" spans="1:204" ht="14" x14ac:dyDescent="0.15">
      <c r="B163" s="147" t="s">
        <v>330</v>
      </c>
      <c r="D163" s="119"/>
      <c r="E163" s="119"/>
      <c r="F163" s="119"/>
      <c r="G163" s="1"/>
      <c r="H163" s="1"/>
      <c r="I163" s="116"/>
      <c r="J163" s="115"/>
      <c r="K163" s="115"/>
      <c r="AH163" s="116"/>
      <c r="AI163" s="116"/>
      <c r="AJ163" s="116"/>
      <c r="AK163" s="116"/>
      <c r="AL163" s="1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BB163" s="172"/>
      <c r="BC163" s="172"/>
      <c r="BD163" s="172"/>
      <c r="BE163" s="172"/>
      <c r="BF163" s="171"/>
      <c r="BG163" s="172"/>
      <c r="BH163" s="172"/>
      <c r="BI163" s="172"/>
      <c r="BJ163" s="172"/>
      <c r="BK163" s="172"/>
      <c r="BL163" s="172"/>
      <c r="BM163" s="172"/>
      <c r="BN163" s="172"/>
      <c r="BO163" s="172"/>
      <c r="BP163" s="172"/>
      <c r="BS163" s="116"/>
      <c r="BT163" s="116"/>
      <c r="BU163" s="116"/>
      <c r="BV163" s="1"/>
      <c r="BW163" s="116"/>
      <c r="BX163" s="116"/>
      <c r="CV163" s="228"/>
      <c r="CW163" s="107">
        <f t="shared" si="114"/>
        <v>0</v>
      </c>
      <c r="CX163" s="107">
        <f t="shared" si="115"/>
        <v>0</v>
      </c>
      <c r="CY163" s="107">
        <f t="shared" si="116"/>
        <v>0</v>
      </c>
      <c r="CZ163" s="107">
        <f t="shared" si="117"/>
        <v>0</v>
      </c>
      <c r="DA163" s="107">
        <f t="shared" si="118"/>
        <v>0</v>
      </c>
      <c r="DB163" s="107">
        <f t="shared" si="119"/>
        <v>0</v>
      </c>
      <c r="DC163" s="107">
        <f t="shared" si="139"/>
        <v>0</v>
      </c>
      <c r="DD163" s="107">
        <f t="shared" si="125"/>
        <v>0</v>
      </c>
      <c r="DE163" s="107">
        <f t="shared" si="156"/>
        <v>0</v>
      </c>
      <c r="DF163" s="107">
        <f t="shared" si="126"/>
        <v>0</v>
      </c>
      <c r="DG163" s="107">
        <f t="shared" si="127"/>
        <v>0</v>
      </c>
      <c r="DH163" s="228">
        <f t="shared" si="128"/>
        <v>0</v>
      </c>
      <c r="DI163" s="228"/>
      <c r="DJ163" s="228"/>
      <c r="DK163" s="228"/>
      <c r="DL163" s="228"/>
      <c r="DM163" s="228"/>
      <c r="DN163" s="228"/>
      <c r="DO163" s="228"/>
      <c r="DQ163" s="1">
        <f t="shared" si="122"/>
        <v>0</v>
      </c>
      <c r="DR163" s="1">
        <f t="shared" si="120"/>
        <v>0</v>
      </c>
      <c r="DS163" s="1">
        <f t="shared" si="140"/>
        <v>0</v>
      </c>
      <c r="DT163" s="1">
        <f t="shared" si="141"/>
        <v>0</v>
      </c>
      <c r="DW163" s="237">
        <f t="shared" si="154"/>
        <v>0</v>
      </c>
      <c r="DX163" s="238"/>
      <c r="DY163" s="119"/>
      <c r="DZ163" s="119"/>
      <c r="EA163" s="239"/>
      <c r="EB163" s="240">
        <f t="shared" si="131"/>
        <v>0</v>
      </c>
      <c r="EC163" s="115"/>
      <c r="ED163" s="115"/>
      <c r="EE163" s="115"/>
      <c r="EF163" s="115"/>
      <c r="EG163" s="399"/>
      <c r="EH163" s="115"/>
      <c r="EI163" s="178"/>
      <c r="EJ163" s="115"/>
      <c r="EK163" s="115"/>
      <c r="EL163" s="115"/>
      <c r="EM163" s="115"/>
      <c r="EN163" s="115"/>
      <c r="EO163" s="115"/>
      <c r="EP163" s="115"/>
      <c r="EQ163" s="115"/>
      <c r="ER163" s="115"/>
      <c r="ES163" s="115"/>
      <c r="ET163" s="115"/>
      <c r="EU163" s="115"/>
      <c r="EV163" s="115"/>
      <c r="EW163" s="115"/>
      <c r="EX163" s="115"/>
      <c r="EY163" s="115"/>
      <c r="EZ163" s="115"/>
      <c r="FA163" s="115"/>
      <c r="FB163" s="115"/>
      <c r="FC163" s="115"/>
      <c r="FD163" s="115"/>
      <c r="FE163" s="115"/>
      <c r="FF163" s="115"/>
      <c r="FG163" s="115"/>
      <c r="FH163" s="115"/>
      <c r="FI163" s="115"/>
      <c r="FJ163" s="115"/>
      <c r="FK163" s="115"/>
      <c r="FL163" s="115"/>
      <c r="FM163" s="242" t="e">
        <f t="shared" si="134"/>
        <v>#DIV/0!</v>
      </c>
      <c r="FN163" s="242" t="e">
        <f t="shared" si="135"/>
        <v>#DIV/0!</v>
      </c>
      <c r="FO163" s="243" t="e">
        <f t="shared" si="136"/>
        <v>#DIV/0!</v>
      </c>
      <c r="FP163" s="243" t="e">
        <f t="shared" si="137"/>
        <v>#DIV/0!</v>
      </c>
      <c r="FQ163" s="244" t="e">
        <f t="shared" si="138"/>
        <v>#DIV/0!</v>
      </c>
    </row>
    <row r="164" spans="1:204" ht="14" x14ac:dyDescent="0.15">
      <c r="B164" s="91" t="s">
        <v>161</v>
      </c>
      <c r="D164" s="209">
        <v>4005</v>
      </c>
      <c r="E164" s="209">
        <v>3664.0452</v>
      </c>
      <c r="F164" s="209">
        <v>2070</v>
      </c>
      <c r="G164" s="1"/>
      <c r="H164" s="1"/>
      <c r="I164" s="165">
        <v>50</v>
      </c>
      <c r="J164" s="115"/>
      <c r="K164" s="208">
        <v>9.5</v>
      </c>
      <c r="AH164" s="165">
        <v>1.8</v>
      </c>
      <c r="AI164" s="165">
        <v>3.4</v>
      </c>
      <c r="AJ164" s="165">
        <v>3.1</v>
      </c>
      <c r="AK164" s="165">
        <v>0.9</v>
      </c>
      <c r="AL164" s="1"/>
      <c r="AM164" s="165">
        <v>2</v>
      </c>
      <c r="AN164" s="165">
        <v>0.35</v>
      </c>
      <c r="AO164" s="165">
        <v>2.4</v>
      </c>
      <c r="AP164" s="165"/>
      <c r="AQ164" s="165"/>
      <c r="AR164" s="165">
        <v>0.85</v>
      </c>
      <c r="AS164" s="165"/>
      <c r="AT164" s="165"/>
      <c r="AU164" s="165"/>
      <c r="AV164" s="165"/>
      <c r="BB164" s="172">
        <v>84</v>
      </c>
      <c r="BC164" s="172">
        <v>87</v>
      </c>
      <c r="BD164" s="172">
        <v>84</v>
      </c>
      <c r="BE164" s="172">
        <v>89</v>
      </c>
      <c r="BF164" s="171"/>
      <c r="BG164" s="172">
        <v>81</v>
      </c>
      <c r="BH164" s="172">
        <v>97</v>
      </c>
      <c r="BI164" s="172">
        <v>83</v>
      </c>
      <c r="BJ164" s="172"/>
      <c r="BK164" s="172"/>
      <c r="BL164" s="172">
        <v>73</v>
      </c>
      <c r="BM164" s="172"/>
      <c r="BN164" s="172"/>
      <c r="BO164" s="172"/>
      <c r="BP164" s="172"/>
      <c r="BS164" s="165">
        <v>0.05</v>
      </c>
      <c r="BT164" s="115">
        <v>1</v>
      </c>
      <c r="BU164" s="115">
        <v>1</v>
      </c>
      <c r="BV164" s="1"/>
      <c r="BW164" s="115">
        <v>8</v>
      </c>
      <c r="BX164" s="165">
        <v>1.4</v>
      </c>
      <c r="CB164">
        <v>67</v>
      </c>
      <c r="CC164">
        <v>88</v>
      </c>
      <c r="CV164" s="228"/>
      <c r="CW164" s="107">
        <f t="shared" si="114"/>
        <v>0</v>
      </c>
      <c r="CX164" s="107">
        <f t="shared" si="115"/>
        <v>0</v>
      </c>
      <c r="CY164" s="107">
        <f t="shared" si="116"/>
        <v>1.5120000000000002</v>
      </c>
      <c r="CZ164" s="107">
        <f t="shared" si="117"/>
        <v>2.9580000000000002</v>
      </c>
      <c r="DA164" s="107">
        <f t="shared" si="118"/>
        <v>2.6040000000000005</v>
      </c>
      <c r="DB164" s="107">
        <f t="shared" si="119"/>
        <v>0.80100000000000005</v>
      </c>
      <c r="DC164" s="107">
        <f t="shared" si="139"/>
        <v>1.4215</v>
      </c>
      <c r="DD164" s="107">
        <f t="shared" si="125"/>
        <v>0</v>
      </c>
      <c r="DE164" s="107">
        <f t="shared" si="156"/>
        <v>0</v>
      </c>
      <c r="DF164" s="107">
        <f t="shared" si="126"/>
        <v>1.62</v>
      </c>
      <c r="DG164" s="107">
        <f t="shared" si="127"/>
        <v>0.33949999999999997</v>
      </c>
      <c r="DH164" s="228">
        <f t="shared" si="128"/>
        <v>1.992</v>
      </c>
      <c r="DI164" s="228"/>
      <c r="DJ164" s="228"/>
      <c r="DK164" s="228"/>
      <c r="DL164" s="228"/>
      <c r="DM164" s="228"/>
      <c r="DN164" s="228"/>
      <c r="DO164" s="228"/>
      <c r="DQ164" s="1">
        <f t="shared" si="122"/>
        <v>0.93799999999999994</v>
      </c>
      <c r="DR164" s="1">
        <f t="shared" si="120"/>
        <v>1.232</v>
      </c>
      <c r="DS164" s="1">
        <f t="shared" si="140"/>
        <v>0</v>
      </c>
      <c r="DT164" s="1">
        <f t="shared" si="141"/>
        <v>0</v>
      </c>
      <c r="DV164" s="236"/>
      <c r="DW164" s="237">
        <v>1100</v>
      </c>
      <c r="DX164" s="238">
        <v>0.5</v>
      </c>
      <c r="EA164" s="150">
        <v>0.75</v>
      </c>
      <c r="EB164" s="240">
        <f t="shared" si="131"/>
        <v>1.0499999999999998</v>
      </c>
      <c r="EG164" s="400"/>
      <c r="EH164" s="210" t="s">
        <v>144</v>
      </c>
      <c r="EM164" s="255"/>
      <c r="EN164" s="240"/>
      <c r="EP164" s="208" t="s">
        <v>144</v>
      </c>
      <c r="ER164" s="208">
        <v>0</v>
      </c>
      <c r="EV164" s="208">
        <v>0</v>
      </c>
      <c r="EW164" s="241"/>
      <c r="EX164" s="241"/>
      <c r="EY164" s="226">
        <v>41.8</v>
      </c>
      <c r="EZ164" s="115"/>
      <c r="FI164" s="115"/>
      <c r="FM164" s="242">
        <f t="shared" si="134"/>
        <v>0.67342799188640967</v>
      </c>
      <c r="FN164" s="242">
        <f t="shared" si="135"/>
        <v>0.51115618661257611</v>
      </c>
      <c r="FO164" s="243">
        <f t="shared" si="136"/>
        <v>1.3174603174603172</v>
      </c>
      <c r="FP164" s="243">
        <f t="shared" si="137"/>
        <v>0.1147734956051386</v>
      </c>
      <c r="FQ164" s="244">
        <f t="shared" si="138"/>
        <v>5.9160000000000004E-2</v>
      </c>
      <c r="FR164" s="37"/>
      <c r="FS164" s="37"/>
      <c r="FT164" s="37"/>
      <c r="FU164" s="37"/>
      <c r="FV164" s="37"/>
      <c r="FW164" s="37"/>
      <c r="FX164" s="37"/>
      <c r="FY164" s="37"/>
      <c r="FZ164" s="37"/>
      <c r="GA164" s="37"/>
      <c r="GB164" s="37"/>
      <c r="GC164" s="37"/>
      <c r="GD164" s="37"/>
      <c r="GE164" s="37"/>
      <c r="GF164" s="37"/>
      <c r="GG164" s="37"/>
      <c r="GH164" s="37"/>
      <c r="GI164" s="37"/>
      <c r="GJ164" s="37"/>
      <c r="GK164" s="37"/>
      <c r="GL164" s="37"/>
      <c r="GM164" s="37"/>
      <c r="GN164" s="37"/>
      <c r="GO164" s="37"/>
      <c r="GP164" s="37"/>
      <c r="GQ164" s="37"/>
      <c r="GR164" s="37"/>
      <c r="GS164" s="37"/>
      <c r="GT164" s="37"/>
      <c r="GU164" s="37"/>
      <c r="GV164" s="37"/>
    </row>
    <row r="165" spans="1:204" ht="14" x14ac:dyDescent="0.15">
      <c r="B165" s="91" t="s">
        <v>162</v>
      </c>
      <c r="D165" s="209">
        <v>4005</v>
      </c>
      <c r="E165" s="203">
        <v>3618</v>
      </c>
      <c r="F165" s="209">
        <v>2607</v>
      </c>
      <c r="G165" s="1"/>
      <c r="H165" s="1"/>
      <c r="I165" s="116">
        <v>60.5</v>
      </c>
      <c r="J165" s="115">
        <v>1.8</v>
      </c>
      <c r="K165" s="208">
        <v>7.5</v>
      </c>
      <c r="AF165" s="127">
        <v>3.74</v>
      </c>
      <c r="AG165" s="127">
        <v>1.3660000000000001</v>
      </c>
      <c r="AH165" s="127">
        <v>2.66</v>
      </c>
      <c r="AI165" s="127">
        <v>4.7389999999999999</v>
      </c>
      <c r="AJ165" s="127">
        <v>4.25</v>
      </c>
      <c r="AK165" s="127">
        <v>1.1499999999999999</v>
      </c>
      <c r="AL165" s="127">
        <v>2.726</v>
      </c>
      <c r="AM165" s="127">
        <v>2.75</v>
      </c>
      <c r="AN165" s="127">
        <v>0.8</v>
      </c>
      <c r="AO165" s="127">
        <v>3.1</v>
      </c>
      <c r="AP165" s="127"/>
      <c r="AQ165" s="127"/>
      <c r="AR165" s="127">
        <v>0.61</v>
      </c>
      <c r="AS165" s="127"/>
      <c r="AT165" s="127"/>
      <c r="AU165" s="127"/>
      <c r="AV165" s="127"/>
      <c r="AW165" s="127">
        <v>1.627</v>
      </c>
      <c r="AZ165" s="145">
        <v>84</v>
      </c>
      <c r="BA165" s="145">
        <v>84</v>
      </c>
      <c r="BB165" s="172">
        <v>83.3</v>
      </c>
      <c r="BC165" s="220">
        <v>72</v>
      </c>
      <c r="BD165" s="172">
        <v>84.1</v>
      </c>
      <c r="BE165" s="172">
        <v>83.9</v>
      </c>
      <c r="BF165" s="221">
        <v>84</v>
      </c>
      <c r="BG165" s="222">
        <v>78.099999999999994</v>
      </c>
      <c r="BH165" s="172">
        <v>90</v>
      </c>
      <c r="BI165" s="172">
        <v>82.8</v>
      </c>
      <c r="BJ165" s="172"/>
      <c r="BK165" s="172"/>
      <c r="BL165" s="172">
        <v>75</v>
      </c>
      <c r="BM165" s="172"/>
      <c r="BN165" s="172"/>
      <c r="BO165" s="172"/>
      <c r="BP165" s="172"/>
      <c r="BQ165" s="145">
        <v>84</v>
      </c>
      <c r="BS165" s="116">
        <v>0.12</v>
      </c>
      <c r="BT165" s="115">
        <v>0.47</v>
      </c>
      <c r="BU165" s="115">
        <v>1.21</v>
      </c>
      <c r="BV165" s="1"/>
      <c r="BW165" s="115">
        <v>2.4</v>
      </c>
      <c r="BX165" s="116">
        <v>0.85</v>
      </c>
      <c r="CB165">
        <v>67</v>
      </c>
      <c r="CC165">
        <v>88</v>
      </c>
      <c r="CV165" s="228"/>
      <c r="CW165" s="107">
        <f t="shared" si="114"/>
        <v>3.1416000000000004</v>
      </c>
      <c r="CX165" s="107">
        <f t="shared" si="115"/>
        <v>1.1474400000000002</v>
      </c>
      <c r="CY165" s="107">
        <f t="shared" si="116"/>
        <v>2.2157800000000001</v>
      </c>
      <c r="CZ165" s="107">
        <f t="shared" si="117"/>
        <v>3.4120799999999996</v>
      </c>
      <c r="DA165" s="107">
        <f t="shared" si="118"/>
        <v>3.5742499999999997</v>
      </c>
      <c r="DB165" s="107">
        <f t="shared" si="119"/>
        <v>0.96484999999999999</v>
      </c>
      <c r="DC165" s="107">
        <f t="shared" si="139"/>
        <v>1.4223500000000002</v>
      </c>
      <c r="DD165" s="107">
        <f t="shared" si="125"/>
        <v>2.2898399999999999</v>
      </c>
      <c r="DE165" s="107">
        <f t="shared" si="156"/>
        <v>3.65652</v>
      </c>
      <c r="DF165" s="107">
        <f t="shared" si="126"/>
        <v>2.1477499999999998</v>
      </c>
      <c r="DG165" s="107">
        <f t="shared" si="127"/>
        <v>0.72</v>
      </c>
      <c r="DH165" s="228">
        <f t="shared" si="128"/>
        <v>2.5668000000000002</v>
      </c>
      <c r="DI165" s="228"/>
      <c r="DJ165" s="228"/>
      <c r="DK165" s="228"/>
      <c r="DL165" s="228"/>
      <c r="DM165" s="228"/>
      <c r="DN165" s="228"/>
      <c r="DO165" s="228"/>
      <c r="DQ165" s="1">
        <f t="shared" si="122"/>
        <v>0.56950000000000001</v>
      </c>
      <c r="DR165" s="1">
        <f t="shared" si="120"/>
        <v>0.748</v>
      </c>
      <c r="DS165" s="1">
        <f t="shared" si="140"/>
        <v>0</v>
      </c>
      <c r="DT165" s="1">
        <f t="shared" si="141"/>
        <v>0</v>
      </c>
      <c r="DV165" s="236"/>
      <c r="DW165" s="237">
        <f t="shared" ref="DW165:DW187" si="157">DX165*2000</f>
        <v>1200</v>
      </c>
      <c r="DX165" s="238">
        <v>0.6</v>
      </c>
      <c r="EA165" s="150">
        <v>0.75</v>
      </c>
      <c r="EB165" s="240">
        <f t="shared" si="131"/>
        <v>0.63749999999999996</v>
      </c>
      <c r="EG165" s="400"/>
      <c r="EH165" s="210"/>
      <c r="EM165" s="254"/>
      <c r="EN165" s="240"/>
      <c r="EP165" s="208"/>
      <c r="ER165" s="208"/>
      <c r="EV165" s="208"/>
      <c r="EW165" s="241"/>
      <c r="EX165" s="241"/>
      <c r="EY165" s="226"/>
      <c r="EZ165" s="115"/>
      <c r="FG165" s="243">
        <v>0.104</v>
      </c>
      <c r="FH165" s="243">
        <v>0.95</v>
      </c>
      <c r="FI165" s="115"/>
      <c r="FM165" s="242">
        <f t="shared" si="134"/>
        <v>0.75226841105718523</v>
      </c>
      <c r="FN165" s="242">
        <f t="shared" si="135"/>
        <v>0.64939274577383899</v>
      </c>
      <c r="FO165" s="243">
        <f t="shared" si="136"/>
        <v>1.1584182545198531</v>
      </c>
      <c r="FP165" s="243">
        <f t="shared" si="137"/>
        <v>0.21101498206372654</v>
      </c>
      <c r="FQ165" s="244">
        <f t="shared" si="138"/>
        <v>5.6398016528925614E-2</v>
      </c>
      <c r="FR165" s="37"/>
      <c r="FS165" s="37"/>
      <c r="FT165" s="37"/>
      <c r="FU165" s="37"/>
      <c r="FV165" s="37"/>
      <c r="FW165" s="37"/>
      <c r="FX165" s="37"/>
      <c r="FY165" s="37"/>
      <c r="FZ165" s="37"/>
      <c r="GA165" s="37"/>
      <c r="GB165" s="37"/>
      <c r="GC165" s="37"/>
      <c r="GD165" s="37"/>
      <c r="GE165" s="37"/>
      <c r="GF165" s="37"/>
      <c r="GG165" s="37"/>
      <c r="GH165" s="37"/>
      <c r="GI165" s="37"/>
      <c r="GJ165" s="37"/>
      <c r="GK165" s="37"/>
      <c r="GL165" s="37"/>
      <c r="GM165" s="37"/>
      <c r="GN165" s="37"/>
      <c r="GO165" s="37"/>
      <c r="GP165" s="37"/>
      <c r="GQ165" s="37"/>
      <c r="GR165" s="37"/>
      <c r="GS165" s="37"/>
      <c r="GT165" s="37"/>
      <c r="GU165" s="37"/>
      <c r="GV165" s="37"/>
    </row>
    <row r="166" spans="1:204" ht="14" x14ac:dyDescent="0.15">
      <c r="B166" s="91" t="s">
        <v>163</v>
      </c>
      <c r="D166" s="209">
        <v>4005</v>
      </c>
      <c r="E166" s="209">
        <v>3528</v>
      </c>
      <c r="F166" s="209">
        <v>2550</v>
      </c>
      <c r="G166" s="1"/>
      <c r="H166" s="1"/>
      <c r="I166" s="165">
        <v>48.5</v>
      </c>
      <c r="J166" s="115"/>
      <c r="K166" s="208">
        <v>7.9</v>
      </c>
      <c r="AF166" s="127">
        <v>2.98</v>
      </c>
      <c r="AG166" s="127">
        <v>1.1100000000000001</v>
      </c>
      <c r="AH166" s="165">
        <v>2.06</v>
      </c>
      <c r="AI166" s="165">
        <v>3.73</v>
      </c>
      <c r="AJ166" s="165">
        <v>3.35</v>
      </c>
      <c r="AK166" s="165">
        <v>1.02</v>
      </c>
      <c r="AL166" s="144">
        <v>2.09</v>
      </c>
      <c r="AM166" s="165">
        <v>2.25</v>
      </c>
      <c r="AN166" s="165">
        <v>0.63</v>
      </c>
      <c r="AO166" s="165">
        <v>2.65</v>
      </c>
      <c r="AP166" s="165"/>
      <c r="AQ166" s="165"/>
      <c r="AR166" s="165">
        <v>0.5</v>
      </c>
      <c r="AS166" s="165"/>
      <c r="AT166" s="165"/>
      <c r="AU166" s="165"/>
      <c r="AV166" s="165"/>
      <c r="AW166" s="144">
        <v>1.1399999999999999</v>
      </c>
      <c r="AZ166" s="145">
        <v>84</v>
      </c>
      <c r="BA166" s="145">
        <v>84</v>
      </c>
      <c r="BB166" s="174">
        <v>83</v>
      </c>
      <c r="BC166" s="203">
        <v>72</v>
      </c>
      <c r="BD166" s="174">
        <v>82.4</v>
      </c>
      <c r="BE166" s="174">
        <v>84</v>
      </c>
      <c r="BF166" s="221">
        <v>84</v>
      </c>
      <c r="BG166" s="174">
        <v>75.2</v>
      </c>
      <c r="BH166" s="174">
        <v>83</v>
      </c>
      <c r="BI166" s="174">
        <v>80.8</v>
      </c>
      <c r="BJ166" s="174"/>
      <c r="BK166" s="174"/>
      <c r="BL166" s="174">
        <v>66</v>
      </c>
      <c r="BM166" s="174"/>
      <c r="BN166" s="174"/>
      <c r="BO166" s="174"/>
      <c r="BP166" s="174"/>
      <c r="BQ166" s="145">
        <v>84</v>
      </c>
      <c r="BS166" s="165">
        <v>0.03</v>
      </c>
      <c r="BT166" s="115"/>
      <c r="BU166" s="115"/>
      <c r="BV166" s="1"/>
      <c r="BW166" s="115"/>
      <c r="BX166" s="165">
        <v>0.75</v>
      </c>
      <c r="CB166">
        <v>67</v>
      </c>
      <c r="CC166">
        <v>88</v>
      </c>
      <c r="CV166" s="228"/>
      <c r="CW166" s="107">
        <f t="shared" si="114"/>
        <v>2.5032000000000001</v>
      </c>
      <c r="CX166" s="107">
        <f t="shared" si="115"/>
        <v>0.93240000000000012</v>
      </c>
      <c r="CY166" s="107">
        <f t="shared" si="116"/>
        <v>1.7098000000000002</v>
      </c>
      <c r="CZ166" s="107">
        <f t="shared" si="117"/>
        <v>2.6856</v>
      </c>
      <c r="DA166" s="107">
        <f t="shared" si="118"/>
        <v>2.7604000000000002</v>
      </c>
      <c r="DB166" s="107">
        <f t="shared" si="119"/>
        <v>0.85680000000000012</v>
      </c>
      <c r="DC166" s="107">
        <f t="shared" si="139"/>
        <v>1.1868000000000001</v>
      </c>
      <c r="DD166" s="107">
        <f t="shared" si="125"/>
        <v>1.7556</v>
      </c>
      <c r="DE166" s="107">
        <f t="shared" si="156"/>
        <v>2.7132000000000001</v>
      </c>
      <c r="DF166" s="107">
        <f t="shared" si="126"/>
        <v>1.6920000000000002</v>
      </c>
      <c r="DG166" s="107">
        <f t="shared" si="127"/>
        <v>0.52290000000000003</v>
      </c>
      <c r="DH166" s="228">
        <f t="shared" si="128"/>
        <v>2.1411999999999995</v>
      </c>
      <c r="DI166" s="228"/>
      <c r="DJ166" s="228"/>
      <c r="DK166" s="228"/>
      <c r="DL166" s="228"/>
      <c r="DM166" s="228"/>
      <c r="DN166" s="228"/>
      <c r="DO166" s="228"/>
      <c r="DQ166" s="1">
        <f t="shared" si="122"/>
        <v>0.50249999999999995</v>
      </c>
      <c r="DR166" s="1">
        <f>CC166*BX166/100</f>
        <v>0.66</v>
      </c>
      <c r="DS166" s="1">
        <f t="shared" si="140"/>
        <v>0</v>
      </c>
      <c r="DT166" s="1">
        <f t="shared" si="141"/>
        <v>0</v>
      </c>
      <c r="DV166" s="236"/>
      <c r="DW166" s="237">
        <f t="shared" si="157"/>
        <v>1000</v>
      </c>
      <c r="DX166" s="238">
        <v>0.5</v>
      </c>
      <c r="EA166" s="150">
        <v>0.75</v>
      </c>
      <c r="EB166" s="240">
        <f t="shared" si="131"/>
        <v>0.5625</v>
      </c>
      <c r="EG166" s="400"/>
      <c r="EH166" s="210"/>
      <c r="EM166" s="255"/>
      <c r="EN166" s="240"/>
      <c r="EP166" s="208"/>
      <c r="ER166" s="208"/>
      <c r="EV166" s="208"/>
      <c r="EW166" s="241"/>
      <c r="EX166" s="241"/>
      <c r="EY166" s="226"/>
      <c r="EZ166" s="115"/>
      <c r="FG166" s="243">
        <v>8.6999999999999994E-2</v>
      </c>
      <c r="FH166" s="243">
        <v>0.95</v>
      </c>
      <c r="FI166" s="115"/>
      <c r="FM166" s="242">
        <f t="shared" si="134"/>
        <v>0.79728924635090836</v>
      </c>
      <c r="FN166" s="242">
        <f t="shared" si="135"/>
        <v>0.63665475126601145</v>
      </c>
      <c r="FO166" s="243">
        <f t="shared" si="136"/>
        <v>1.2523102117206686</v>
      </c>
      <c r="FP166" s="243">
        <f t="shared" si="137"/>
        <v>0.19470509383378018</v>
      </c>
      <c r="FQ166" s="244">
        <f t="shared" si="138"/>
        <v>5.537319587628866E-2</v>
      </c>
      <c r="FR166" s="37"/>
      <c r="FS166" s="37"/>
      <c r="FT166" s="37"/>
      <c r="FU166" s="37"/>
      <c r="FV166" s="37"/>
      <c r="FW166" s="37"/>
      <c r="FX166" s="37"/>
      <c r="FY166" s="37"/>
      <c r="FZ166" s="37"/>
      <c r="GA166" s="37"/>
      <c r="GB166" s="37"/>
      <c r="GC166" s="37"/>
      <c r="GD166" s="37"/>
      <c r="GE166" s="37"/>
      <c r="GF166" s="37"/>
      <c r="GG166" s="37"/>
      <c r="GH166" s="37"/>
      <c r="GI166" s="37"/>
      <c r="GJ166" s="37"/>
      <c r="GK166" s="37"/>
      <c r="GL166" s="37"/>
      <c r="GM166" s="37"/>
      <c r="GN166" s="37"/>
      <c r="GO166" s="37"/>
      <c r="GP166" s="37"/>
      <c r="GQ166" s="37"/>
      <c r="GR166" s="37"/>
      <c r="GS166" s="37"/>
      <c r="GT166" s="37"/>
      <c r="GU166" s="37"/>
      <c r="GV166" s="37"/>
    </row>
    <row r="167" spans="1:204" ht="14" x14ac:dyDescent="0.15">
      <c r="B167" s="96" t="s">
        <v>353</v>
      </c>
      <c r="D167" s="206"/>
      <c r="E167" s="206"/>
      <c r="F167" s="206"/>
      <c r="G167" s="1"/>
      <c r="H167" s="1"/>
      <c r="I167" s="207"/>
      <c r="J167" s="208"/>
      <c r="K167" s="208"/>
      <c r="AH167" s="165"/>
      <c r="AI167" s="165"/>
      <c r="AJ167" s="165"/>
      <c r="AK167" s="207"/>
      <c r="AL167" s="1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BB167" s="219"/>
      <c r="BC167" s="219"/>
      <c r="BD167" s="219"/>
      <c r="BE167" s="177"/>
      <c r="BF167" s="1"/>
      <c r="BG167" s="219"/>
      <c r="BH167" s="219"/>
      <c r="BI167" s="219"/>
      <c r="BJ167" s="219"/>
      <c r="BK167" s="219"/>
      <c r="BL167" s="177"/>
      <c r="BM167" s="177"/>
      <c r="BN167" s="177"/>
      <c r="BO167" s="177"/>
      <c r="BP167" s="177"/>
      <c r="BS167" s="207">
        <v>18</v>
      </c>
      <c r="BT167" s="115"/>
      <c r="BU167" s="208"/>
      <c r="BV167" s="1"/>
      <c r="BW167" s="208"/>
      <c r="BX167" s="207"/>
      <c r="CV167" s="228"/>
      <c r="CW167" s="107">
        <f t="shared" si="114"/>
        <v>0</v>
      </c>
      <c r="CX167" s="107">
        <f t="shared" si="115"/>
        <v>0</v>
      </c>
      <c r="CY167" s="107">
        <f t="shared" si="116"/>
        <v>0</v>
      </c>
      <c r="CZ167" s="107">
        <f t="shared" si="117"/>
        <v>0</v>
      </c>
      <c r="DA167" s="107">
        <f t="shared" si="118"/>
        <v>0</v>
      </c>
      <c r="DB167" s="107">
        <f t="shared" si="119"/>
        <v>0</v>
      </c>
      <c r="DC167" s="107">
        <f t="shared" si="139"/>
        <v>0</v>
      </c>
      <c r="DD167" s="107">
        <f t="shared" si="125"/>
        <v>0</v>
      </c>
      <c r="DE167" s="107">
        <f t="shared" si="156"/>
        <v>0</v>
      </c>
      <c r="DF167" s="107">
        <f t="shared" si="126"/>
        <v>0</v>
      </c>
      <c r="DG167" s="107">
        <f t="shared" si="127"/>
        <v>0</v>
      </c>
      <c r="DH167" s="228">
        <f t="shared" si="128"/>
        <v>0</v>
      </c>
      <c r="DI167" s="228"/>
      <c r="DJ167" s="228"/>
      <c r="DK167" s="228"/>
      <c r="DL167" s="228"/>
      <c r="DM167" s="228"/>
      <c r="DN167" s="228"/>
      <c r="DO167" s="228"/>
      <c r="DQ167" s="1">
        <f t="shared" si="122"/>
        <v>0</v>
      </c>
      <c r="DR167" s="1">
        <f t="shared" ref="DR167:DR184" si="158">CC167*BX167/100</f>
        <v>0</v>
      </c>
      <c r="DS167" s="1">
        <f t="shared" si="140"/>
        <v>0</v>
      </c>
      <c r="DT167" s="1">
        <f t="shared" si="141"/>
        <v>0</v>
      </c>
      <c r="DV167" s="236"/>
      <c r="DW167" s="237">
        <f t="shared" si="157"/>
        <v>0</v>
      </c>
      <c r="DX167" s="238"/>
      <c r="DY167" s="210"/>
      <c r="DZ167" s="210"/>
      <c r="EA167" s="239"/>
      <c r="EB167" s="240">
        <f t="shared" si="131"/>
        <v>0</v>
      </c>
      <c r="EC167" s="208"/>
      <c r="ED167" s="208"/>
      <c r="EE167" s="208">
        <f>EE142*2</f>
        <v>453500</v>
      </c>
      <c r="EF167" s="208"/>
      <c r="EG167" s="384"/>
      <c r="EH167" s="208"/>
      <c r="EI167" s="178"/>
      <c r="EJ167" s="115"/>
      <c r="EK167" s="115"/>
      <c r="EL167" s="115"/>
      <c r="EM167" s="115"/>
      <c r="EN167" s="115"/>
      <c r="EO167" s="115"/>
      <c r="EP167" s="115"/>
      <c r="EQ167" s="115"/>
      <c r="ER167" s="115"/>
      <c r="ES167" s="115">
        <f>ES142*2</f>
        <v>1500000</v>
      </c>
      <c r="ET167" s="115">
        <f t="shared" ref="ET167:EZ167" si="159">ET142*2</f>
        <v>600000</v>
      </c>
      <c r="EU167" s="115">
        <f t="shared" si="159"/>
        <v>16000</v>
      </c>
      <c r="EV167" s="115">
        <f t="shared" si="159"/>
        <v>1200</v>
      </c>
      <c r="EW167" s="115">
        <f t="shared" si="159"/>
        <v>12</v>
      </c>
      <c r="EX167" s="115">
        <f t="shared" si="159"/>
        <v>18000</v>
      </c>
      <c r="EY167" s="115">
        <f t="shared" si="159"/>
        <v>10000</v>
      </c>
      <c r="EZ167" s="115">
        <f t="shared" si="159"/>
        <v>3000</v>
      </c>
      <c r="FA167" s="115"/>
      <c r="FB167" s="115"/>
      <c r="FC167" s="115"/>
      <c r="FD167" s="115"/>
      <c r="FE167" s="115"/>
      <c r="FF167" s="115"/>
      <c r="FG167" s="115"/>
      <c r="FH167" s="115"/>
      <c r="FI167" s="115"/>
      <c r="FJ167" s="115"/>
      <c r="FK167" s="115"/>
      <c r="FL167" s="115"/>
      <c r="FM167" s="242" t="e">
        <f t="shared" si="134"/>
        <v>#DIV/0!</v>
      </c>
      <c r="FN167" s="242" t="e">
        <f t="shared" si="135"/>
        <v>#DIV/0!</v>
      </c>
      <c r="FO167" s="243" t="e">
        <f t="shared" si="136"/>
        <v>#DIV/0!</v>
      </c>
      <c r="FP167" s="243" t="e">
        <f t="shared" si="137"/>
        <v>#DIV/0!</v>
      </c>
      <c r="FQ167" s="244" t="e">
        <f t="shared" si="138"/>
        <v>#DIV/0!</v>
      </c>
    </row>
    <row r="168" spans="1:204" ht="14" x14ac:dyDescent="0.15">
      <c r="B168" s="96" t="s">
        <v>354</v>
      </c>
      <c r="D168" s="206"/>
      <c r="E168" s="206"/>
      <c r="F168" s="206"/>
      <c r="G168" s="1"/>
      <c r="H168" s="1"/>
      <c r="I168" s="207"/>
      <c r="J168" s="208"/>
      <c r="K168" s="208"/>
      <c r="AH168" s="165"/>
      <c r="AI168" s="165"/>
      <c r="AJ168" s="165"/>
      <c r="AK168" s="207"/>
      <c r="AL168" s="1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BB168" s="219"/>
      <c r="BC168" s="219"/>
      <c r="BD168" s="219"/>
      <c r="BE168" s="177"/>
      <c r="BF168" s="1"/>
      <c r="BG168" s="219"/>
      <c r="BH168" s="219"/>
      <c r="BI168" s="219"/>
      <c r="BJ168" s="219"/>
      <c r="BK168" s="219"/>
      <c r="BL168" s="177"/>
      <c r="BM168" s="177"/>
      <c r="BN168" s="177"/>
      <c r="BO168" s="177"/>
      <c r="BP168" s="177"/>
      <c r="BS168" s="207">
        <v>18</v>
      </c>
      <c r="BT168" s="115"/>
      <c r="BU168" s="208"/>
      <c r="BV168" s="1"/>
      <c r="BW168" s="208"/>
      <c r="BX168" s="207"/>
      <c r="CV168" s="228"/>
      <c r="CW168" s="107">
        <f t="shared" si="114"/>
        <v>0</v>
      </c>
      <c r="CX168" s="107">
        <f t="shared" si="115"/>
        <v>0</v>
      </c>
      <c r="CY168" s="107">
        <f t="shared" si="116"/>
        <v>0</v>
      </c>
      <c r="CZ168" s="107">
        <f t="shared" si="117"/>
        <v>0</v>
      </c>
      <c r="DA168" s="107">
        <f t="shared" si="118"/>
        <v>0</v>
      </c>
      <c r="DB168" s="107">
        <f t="shared" si="119"/>
        <v>0</v>
      </c>
      <c r="DC168" s="107">
        <f t="shared" si="139"/>
        <v>0</v>
      </c>
      <c r="DD168" s="107">
        <f t="shared" si="125"/>
        <v>0</v>
      </c>
      <c r="DE168" s="107">
        <f t="shared" si="156"/>
        <v>0</v>
      </c>
      <c r="DF168" s="107">
        <f t="shared" si="126"/>
        <v>0</v>
      </c>
      <c r="DG168" s="107">
        <f t="shared" si="127"/>
        <v>0</v>
      </c>
      <c r="DH168" s="228">
        <f t="shared" si="128"/>
        <v>0</v>
      </c>
      <c r="DI168" s="228"/>
      <c r="DJ168" s="228"/>
      <c r="DK168" s="228"/>
      <c r="DL168" s="228"/>
      <c r="DM168" s="228"/>
      <c r="DN168" s="228"/>
      <c r="DO168" s="228"/>
      <c r="DQ168" s="1">
        <f t="shared" si="122"/>
        <v>0</v>
      </c>
      <c r="DR168" s="1">
        <f t="shared" si="158"/>
        <v>0</v>
      </c>
      <c r="DS168" s="1">
        <f t="shared" si="140"/>
        <v>0</v>
      </c>
      <c r="DT168" s="1">
        <f t="shared" si="141"/>
        <v>0</v>
      </c>
      <c r="DV168" s="236"/>
      <c r="DW168" s="237">
        <f t="shared" si="157"/>
        <v>0</v>
      </c>
      <c r="DX168" s="238"/>
      <c r="DY168" s="210"/>
      <c r="DZ168" s="210"/>
      <c r="EA168" s="239"/>
      <c r="EB168" s="240">
        <f t="shared" si="131"/>
        <v>0</v>
      </c>
      <c r="EC168" s="208"/>
      <c r="ED168" s="208"/>
      <c r="EE168" s="208"/>
      <c r="EF168" s="208"/>
      <c r="EG168" s="384"/>
      <c r="EH168" s="208"/>
      <c r="EI168" s="178"/>
      <c r="EJ168" s="115"/>
      <c r="EK168" s="115"/>
      <c r="EL168" s="115"/>
      <c r="EM168" s="115"/>
      <c r="EN168" s="115"/>
      <c r="EO168" s="115"/>
      <c r="EP168" s="115"/>
      <c r="EQ168" s="115"/>
      <c r="ER168" s="115"/>
      <c r="ES168" s="115">
        <f>ES142*2</f>
        <v>1500000</v>
      </c>
      <c r="ET168" s="115">
        <f t="shared" ref="ET168:EZ168" si="160">ET142*2</f>
        <v>600000</v>
      </c>
      <c r="EU168" s="115">
        <f t="shared" si="160"/>
        <v>16000</v>
      </c>
      <c r="EV168" s="115">
        <f t="shared" si="160"/>
        <v>1200</v>
      </c>
      <c r="EW168" s="115">
        <f t="shared" si="160"/>
        <v>12</v>
      </c>
      <c r="EX168" s="115">
        <f t="shared" si="160"/>
        <v>18000</v>
      </c>
      <c r="EY168" s="115">
        <f t="shared" si="160"/>
        <v>10000</v>
      </c>
      <c r="EZ168" s="115">
        <f t="shared" si="160"/>
        <v>3000</v>
      </c>
      <c r="FA168" s="115"/>
      <c r="FB168" s="115"/>
      <c r="FC168" s="115"/>
      <c r="FD168" s="115"/>
      <c r="FE168" s="115"/>
      <c r="FF168" s="115"/>
      <c r="FG168" s="115"/>
      <c r="FH168" s="115"/>
      <c r="FI168" s="115"/>
      <c r="FJ168" s="115"/>
      <c r="FK168" s="115"/>
      <c r="FL168" s="115"/>
      <c r="FM168" s="242" t="e">
        <f t="shared" si="134"/>
        <v>#DIV/0!</v>
      </c>
      <c r="FN168" s="242" t="e">
        <f t="shared" si="135"/>
        <v>#DIV/0!</v>
      </c>
      <c r="FO168" s="243" t="e">
        <f t="shared" si="136"/>
        <v>#DIV/0!</v>
      </c>
      <c r="FP168" s="243" t="e">
        <f t="shared" si="137"/>
        <v>#DIV/0!</v>
      </c>
      <c r="FQ168" s="244" t="e">
        <f t="shared" si="138"/>
        <v>#DIV/0!</v>
      </c>
    </row>
    <row r="169" spans="1:204" x14ac:dyDescent="0.15">
      <c r="A169" s="134"/>
      <c r="B169" s="143" t="s">
        <v>337</v>
      </c>
      <c r="C169">
        <v>4849</v>
      </c>
      <c r="D169" s="171">
        <f>62.347*K169+3058.13</f>
        <v>3712.7735000000002</v>
      </c>
      <c r="E169" s="171">
        <f>(D169/(H169/100)-I169*6.8/(H169/100))*H169/100</f>
        <v>3527.1335000000004</v>
      </c>
      <c r="F169" s="171">
        <f>K169*115.01+1501.01</f>
        <v>2708.6149999999998</v>
      </c>
      <c r="G169" s="1"/>
      <c r="H169" s="13">
        <v>89.31</v>
      </c>
      <c r="I169" s="13">
        <v>27.3</v>
      </c>
      <c r="J169" s="13">
        <v>7.06</v>
      </c>
      <c r="K169" s="13">
        <v>10.5</v>
      </c>
      <c r="M169" s="136">
        <v>4.1100000000000003</v>
      </c>
      <c r="N169" s="136"/>
      <c r="O169" s="136">
        <f>D169/D$24</f>
        <v>1.0758543900318749</v>
      </c>
      <c r="P169" s="136">
        <f t="shared" ref="P169" si="161">E169/E$24</f>
        <v>1.0389200294550811</v>
      </c>
      <c r="Q169" s="136">
        <f t="shared" ref="Q169" si="162">F169/F$24</f>
        <v>1.0137032185628743</v>
      </c>
      <c r="T169" s="136">
        <v>6.73</v>
      </c>
      <c r="U169" s="136">
        <v>32.5</v>
      </c>
      <c r="V169" s="136">
        <v>11.75</v>
      </c>
      <c r="W169" s="136">
        <v>2.61</v>
      </c>
      <c r="X169" s="136">
        <v>31.35</v>
      </c>
      <c r="AB169" s="136">
        <v>40.710000000000008</v>
      </c>
      <c r="AC169" s="136">
        <v>70</v>
      </c>
      <c r="AD169" s="136">
        <v>43.692400000000006</v>
      </c>
      <c r="AF169" s="264">
        <v>1.1599999999999999</v>
      </c>
      <c r="AG169" s="264">
        <v>0.71</v>
      </c>
      <c r="AH169" s="265">
        <v>1.02</v>
      </c>
      <c r="AI169" s="265">
        <v>3.13</v>
      </c>
      <c r="AJ169" s="265">
        <v>0.77</v>
      </c>
      <c r="AK169" s="265">
        <v>0.55000000000000004</v>
      </c>
      <c r="AL169" s="265">
        <v>1.34</v>
      </c>
      <c r="AM169" s="265">
        <v>0.99</v>
      </c>
      <c r="AN169" s="265">
        <v>0.21</v>
      </c>
      <c r="AO169" s="265">
        <v>1.35</v>
      </c>
      <c r="AP169" s="265">
        <v>1.93</v>
      </c>
      <c r="AQ169" s="265">
        <v>1.82</v>
      </c>
      <c r="AR169" s="265">
        <v>0.51</v>
      </c>
      <c r="AS169" s="264">
        <v>4.3499999999999996</v>
      </c>
      <c r="AT169" s="264">
        <v>1.04</v>
      </c>
      <c r="AU169" s="264">
        <v>2.09</v>
      </c>
      <c r="AV169" s="264">
        <v>1.18</v>
      </c>
      <c r="AW169" s="264">
        <v>1.04</v>
      </c>
      <c r="AY169">
        <v>74</v>
      </c>
      <c r="AZ169">
        <v>81</v>
      </c>
      <c r="BA169">
        <v>78</v>
      </c>
      <c r="BB169" s="1">
        <v>76</v>
      </c>
      <c r="BC169" s="1">
        <v>84</v>
      </c>
      <c r="BD169" s="1">
        <v>61</v>
      </c>
      <c r="BE169" s="1">
        <v>82</v>
      </c>
      <c r="BF169" s="1">
        <v>81</v>
      </c>
      <c r="BG169" s="1">
        <v>71</v>
      </c>
      <c r="BH169" s="1">
        <v>71</v>
      </c>
      <c r="BI169" s="1">
        <v>75</v>
      </c>
      <c r="BJ169" s="1">
        <v>79</v>
      </c>
      <c r="BK169" s="1">
        <v>69</v>
      </c>
      <c r="BL169" s="1">
        <v>73</v>
      </c>
      <c r="BM169">
        <v>81</v>
      </c>
      <c r="BN169">
        <v>64</v>
      </c>
      <c r="BO169">
        <v>74</v>
      </c>
      <c r="BP169">
        <v>77</v>
      </c>
      <c r="BQ169">
        <v>81</v>
      </c>
      <c r="BS169" s="1">
        <v>0.12</v>
      </c>
      <c r="BT169" s="1"/>
      <c r="BU169" s="1">
        <v>0.9</v>
      </c>
      <c r="BV169" s="1">
        <v>0.28999999999999998</v>
      </c>
      <c r="BW169" s="1">
        <v>0.22</v>
      </c>
      <c r="BX169" s="1">
        <v>0.73</v>
      </c>
      <c r="BY169">
        <v>0.66</v>
      </c>
      <c r="CA169">
        <v>0.26</v>
      </c>
      <c r="CB169" s="136">
        <v>60</v>
      </c>
      <c r="CC169" s="136">
        <v>65</v>
      </c>
      <c r="CD169" s="284">
        <v>50</v>
      </c>
      <c r="CE169" s="284">
        <v>60</v>
      </c>
      <c r="CF169" s="136">
        <v>28.497000000000007</v>
      </c>
      <c r="CH169" s="136">
        <v>17.491199999999999</v>
      </c>
      <c r="CI169" s="264">
        <v>0.85839999999999994</v>
      </c>
      <c r="CJ169" s="264">
        <v>0.52539999999999998</v>
      </c>
      <c r="CK169" s="264">
        <v>0.73439999999999994</v>
      </c>
      <c r="CL169" s="264">
        <v>2.5665999999999998</v>
      </c>
      <c r="CM169" s="264">
        <v>0.42349999999999999</v>
      </c>
      <c r="CN169" s="264">
        <v>0.44</v>
      </c>
      <c r="CO169" s="264">
        <v>0.79190000000000005</v>
      </c>
      <c r="CP169" s="264">
        <v>1.0452000000000001</v>
      </c>
      <c r="CQ169" s="264">
        <v>1.8564000000000003</v>
      </c>
      <c r="CR169" s="264">
        <v>0.63359999999999994</v>
      </c>
      <c r="CS169" s="264">
        <v>0.13229999999999997</v>
      </c>
      <c r="CT169" s="264">
        <v>0.95850000000000013</v>
      </c>
      <c r="CU169" s="107"/>
      <c r="CV169" s="216">
        <v>20.2242</v>
      </c>
      <c r="CW169" s="4">
        <f t="shared" si="114"/>
        <v>0.93959999999999999</v>
      </c>
      <c r="CX169" s="4">
        <f t="shared" si="115"/>
        <v>0.55379999999999996</v>
      </c>
      <c r="CY169" s="4">
        <f t="shared" si="116"/>
        <v>0.7752</v>
      </c>
      <c r="CZ169" s="4">
        <f t="shared" si="117"/>
        <v>2.6292</v>
      </c>
      <c r="DA169" s="4">
        <f t="shared" si="118"/>
        <v>0.46970000000000001</v>
      </c>
      <c r="DB169" s="4">
        <f t="shared" si="119"/>
        <v>0.45100000000000001</v>
      </c>
      <c r="DC169" s="4">
        <f t="shared" si="139"/>
        <v>0.82330000000000014</v>
      </c>
      <c r="DD169" s="4">
        <f t="shared" si="125"/>
        <v>1.0854000000000001</v>
      </c>
      <c r="DE169" s="4">
        <f t="shared" si="156"/>
        <v>1.9278000000000002</v>
      </c>
      <c r="DF169" s="4">
        <f t="shared" si="126"/>
        <v>0.70290000000000008</v>
      </c>
      <c r="DG169" s="4">
        <f t="shared" si="127"/>
        <v>0.14910000000000001</v>
      </c>
      <c r="DH169" s="216">
        <f t="shared" si="128"/>
        <v>1.0125</v>
      </c>
      <c r="DI169" s="216">
        <f t="shared" ref="DI169:DI171" si="163">AP169*BJ169/100</f>
        <v>1.5246999999999999</v>
      </c>
      <c r="DJ169" s="216">
        <f t="shared" ref="DJ169:DJ171" si="164">AQ169*BK169/100</f>
        <v>1.2558</v>
      </c>
      <c r="DK169" s="216">
        <f t="shared" ref="DK169:DK171" si="165">AR169*BL169/100</f>
        <v>0.37230000000000002</v>
      </c>
      <c r="DL169" s="216">
        <f t="shared" ref="DL169:DL171" si="166">AS169*BM169/100</f>
        <v>3.5234999999999999</v>
      </c>
      <c r="DM169" s="216">
        <f t="shared" ref="DM169:DM171" si="167">AT169*BN169/100</f>
        <v>0.66559999999999997</v>
      </c>
      <c r="DN169" s="216">
        <f t="shared" ref="DN169:DN171" si="168">AU169*BO169/100</f>
        <v>1.5466</v>
      </c>
      <c r="DO169" s="216">
        <f t="shared" ref="DO169:DO171" si="169">AV169*BP169/100</f>
        <v>0.90859999999999996</v>
      </c>
      <c r="DP169" s="216">
        <f t="shared" ref="DP169:DP171" si="170">AW169*BQ169/100</f>
        <v>0.84240000000000004</v>
      </c>
      <c r="DQ169" s="216">
        <f t="shared" si="122"/>
        <v>0.43799999999999994</v>
      </c>
      <c r="DR169" s="216">
        <f t="shared" si="158"/>
        <v>0.47449999999999998</v>
      </c>
      <c r="DS169" s="216">
        <f t="shared" si="140"/>
        <v>0.06</v>
      </c>
      <c r="DT169" s="216">
        <f t="shared" si="141"/>
        <v>7.1999999999999995E-2</v>
      </c>
      <c r="DW169" s="237">
        <f t="shared" si="157"/>
        <v>150</v>
      </c>
      <c r="DX169" s="238">
        <v>7.4999999999999997E-2</v>
      </c>
      <c r="DY169" s="202">
        <f t="shared" ref="DY169:DZ171" si="171">DY161</f>
        <v>0</v>
      </c>
      <c r="DZ169" s="202">
        <f t="shared" si="171"/>
        <v>0</v>
      </c>
      <c r="EA169" s="250">
        <v>0.77</v>
      </c>
      <c r="EB169" s="240">
        <f t="shared" si="131"/>
        <v>0.56210000000000004</v>
      </c>
      <c r="EC169" s="167">
        <f>0.59*K169</f>
        <v>6.1949999999999994</v>
      </c>
      <c r="ED169" s="115"/>
      <c r="EE169" s="208">
        <v>0</v>
      </c>
      <c r="EF169" s="208"/>
      <c r="EG169" s="386">
        <v>0.18</v>
      </c>
      <c r="EH169" s="285">
        <f>125*K169/10</f>
        <v>131.25</v>
      </c>
      <c r="EI169" s="178">
        <f>IF(AR169="","",AR169*BL169)</f>
        <v>37.230000000000004</v>
      </c>
      <c r="EJ169" s="115"/>
      <c r="EK169" s="115"/>
      <c r="EL169" s="115"/>
      <c r="EM169" s="115"/>
      <c r="EN169" s="115"/>
      <c r="EO169" s="115"/>
      <c r="EP169" s="115"/>
      <c r="EQ169" s="115"/>
      <c r="ER169" s="115"/>
      <c r="ES169" s="115"/>
      <c r="ET169" s="115"/>
      <c r="EU169" s="115"/>
      <c r="EV169" s="115"/>
      <c r="EW169" s="115"/>
      <c r="EX169" s="115"/>
      <c r="EY169" s="115"/>
      <c r="EZ169" s="115"/>
      <c r="FA169" s="115"/>
      <c r="FB169" s="115"/>
      <c r="FC169" s="115"/>
      <c r="FD169" s="115"/>
      <c r="FE169" s="115"/>
      <c r="FF169" s="115"/>
      <c r="FG169" s="253">
        <v>4.1500000000000002E-2</v>
      </c>
      <c r="FH169" s="253">
        <v>0.88500000000000001</v>
      </c>
      <c r="FI169" s="115">
        <v>56.21</v>
      </c>
      <c r="FJ169" s="115">
        <v>1.22</v>
      </c>
      <c r="FK169" s="116">
        <f>SUM(FI169:FJ169)/100*K169</f>
        <v>6.0301500000000008</v>
      </c>
      <c r="FL169" s="115"/>
      <c r="FM169" s="242">
        <f t="shared" si="134"/>
        <v>0.38509812870835236</v>
      </c>
      <c r="FN169" s="242">
        <f t="shared" si="135"/>
        <v>0.29484253765403923</v>
      </c>
      <c r="FO169" s="243">
        <f t="shared" si="136"/>
        <v>1.3061145510835912</v>
      </c>
      <c r="FP169" s="243">
        <f t="shared" si="137"/>
        <v>5.6709265175718851E-2</v>
      </c>
      <c r="FQ169" s="244">
        <f t="shared" si="138"/>
        <v>9.6307692307692302E-2</v>
      </c>
    </row>
    <row r="170" spans="1:204" x14ac:dyDescent="0.15">
      <c r="A170" s="134"/>
      <c r="B170" s="143" t="s">
        <v>338</v>
      </c>
      <c r="C170">
        <v>4849</v>
      </c>
      <c r="D170" s="171">
        <f t="shared" ref="D170:D171" si="172">62.347*K170+3058.13</f>
        <v>3525.7325000000001</v>
      </c>
      <c r="E170" s="171">
        <f t="shared" ref="E170:E171" si="173">(D170/(H170/100)-I170*6.8/(H170/100))*H170/100</f>
        <v>3334.3125</v>
      </c>
      <c r="F170" s="171">
        <f t="shared" ref="F170:F171" si="174">K170*115.01+1501.01</f>
        <v>2363.585</v>
      </c>
      <c r="G170" s="1"/>
      <c r="H170" s="13">
        <v>89.31</v>
      </c>
      <c r="I170" s="13">
        <v>28.15</v>
      </c>
      <c r="J170" s="13">
        <v>7.28</v>
      </c>
      <c r="K170" s="13">
        <v>7.5</v>
      </c>
      <c r="M170" s="136">
        <v>4.2371134020618557</v>
      </c>
      <c r="N170" s="136"/>
      <c r="O170" s="136">
        <f>D170/D$24</f>
        <v>1.0216553172993335</v>
      </c>
      <c r="P170" s="136">
        <f t="shared" ref="P170:Q170" si="175">E170/E$24</f>
        <v>0.98212444771723117</v>
      </c>
      <c r="Q170" s="136">
        <f t="shared" si="175"/>
        <v>0.88457522455089821</v>
      </c>
      <c r="T170" s="136">
        <v>6.9381443298969074</v>
      </c>
      <c r="U170" s="136">
        <v>33.505154639175252</v>
      </c>
      <c r="V170" s="136">
        <v>12.11340206185567</v>
      </c>
      <c r="W170" s="136">
        <v>2.6907216494845358</v>
      </c>
      <c r="X170" s="136">
        <v>32.319587628865982</v>
      </c>
      <c r="AB170" s="136">
        <v>40.710000000000008</v>
      </c>
      <c r="AC170" s="136">
        <v>70</v>
      </c>
      <c r="AD170" s="136">
        <v>43.692400000000006</v>
      </c>
      <c r="AF170" s="264">
        <f t="shared" ref="AF170:AG171" si="176">$I170/$I$169*AF$169</f>
        <v>1.196117216117216</v>
      </c>
      <c r="AG170" s="264">
        <f t="shared" si="176"/>
        <v>0.73210622710622697</v>
      </c>
      <c r="AH170" s="265">
        <f>$I170/$I$169*AH$169</f>
        <v>1.0517582417582416</v>
      </c>
      <c r="AI170" s="265">
        <f t="shared" ref="AI170:AW171" si="177">$I170/$I$169*AI$169</f>
        <v>3.2274542124542118</v>
      </c>
      <c r="AJ170" s="265">
        <f t="shared" si="177"/>
        <v>0.79397435897435886</v>
      </c>
      <c r="AK170" s="265">
        <f t="shared" si="177"/>
        <v>0.56712454212454211</v>
      </c>
      <c r="AL170" s="265">
        <f t="shared" si="177"/>
        <v>1.3817216117216116</v>
      </c>
      <c r="AM170" s="265">
        <f t="shared" si="177"/>
        <v>1.0208241758241756</v>
      </c>
      <c r="AN170" s="265">
        <f t="shared" si="177"/>
        <v>0.21653846153846151</v>
      </c>
      <c r="AO170" s="265">
        <f t="shared" si="177"/>
        <v>1.392032967032967</v>
      </c>
      <c r="AP170" s="265">
        <f t="shared" si="177"/>
        <v>1.9900915750915749</v>
      </c>
      <c r="AQ170" s="265">
        <f t="shared" si="177"/>
        <v>1.8766666666666665</v>
      </c>
      <c r="AR170" s="265">
        <f t="shared" si="177"/>
        <v>0.52587912087912081</v>
      </c>
      <c r="AS170" s="264">
        <f t="shared" si="177"/>
        <v>4.4854395604395592</v>
      </c>
      <c r="AT170" s="264">
        <f t="shared" si="177"/>
        <v>1.0723809523809522</v>
      </c>
      <c r="AU170" s="264">
        <f t="shared" si="177"/>
        <v>2.1550732600732596</v>
      </c>
      <c r="AV170" s="264">
        <f t="shared" si="177"/>
        <v>1.2167399267399266</v>
      </c>
      <c r="AW170" s="264">
        <f t="shared" si="177"/>
        <v>1.0723809523809522</v>
      </c>
      <c r="AY170">
        <v>74</v>
      </c>
      <c r="AZ170">
        <v>81</v>
      </c>
      <c r="BA170">
        <v>78</v>
      </c>
      <c r="BB170" s="1">
        <v>76</v>
      </c>
      <c r="BC170" s="1">
        <v>84</v>
      </c>
      <c r="BD170" s="1">
        <v>61</v>
      </c>
      <c r="BE170" s="1">
        <v>82</v>
      </c>
      <c r="BF170" s="1">
        <v>81</v>
      </c>
      <c r="BG170" s="1">
        <v>71</v>
      </c>
      <c r="BH170" s="1">
        <v>71</v>
      </c>
      <c r="BI170" s="1">
        <v>75</v>
      </c>
      <c r="BJ170" s="1">
        <v>79</v>
      </c>
      <c r="BK170" s="1">
        <v>69</v>
      </c>
      <c r="BL170" s="1">
        <v>73</v>
      </c>
      <c r="BM170">
        <v>81</v>
      </c>
      <c r="BN170">
        <v>64</v>
      </c>
      <c r="BO170">
        <v>74</v>
      </c>
      <c r="BP170">
        <v>77</v>
      </c>
      <c r="BQ170">
        <v>81</v>
      </c>
      <c r="BS170" s="1">
        <v>0.12</v>
      </c>
      <c r="BT170" s="1"/>
      <c r="BU170" s="1">
        <v>0.9</v>
      </c>
      <c r="BV170" s="1">
        <v>0.28999999999999998</v>
      </c>
      <c r="BW170" s="1">
        <v>0.22</v>
      </c>
      <c r="BX170" s="1">
        <v>0.73</v>
      </c>
      <c r="BY170">
        <v>0.66</v>
      </c>
      <c r="CA170">
        <v>0.26</v>
      </c>
      <c r="CB170" s="136">
        <v>60</v>
      </c>
      <c r="CC170" s="136">
        <v>65</v>
      </c>
      <c r="CD170" s="284">
        <v>50</v>
      </c>
      <c r="CE170" s="284">
        <v>60</v>
      </c>
      <c r="CF170" s="136">
        <v>28.497000000000007</v>
      </c>
      <c r="CH170" s="136">
        <v>17.491199999999999</v>
      </c>
      <c r="CI170" s="264">
        <v>0.85839999999999994</v>
      </c>
      <c r="CJ170" s="264">
        <v>0.52539999999999998</v>
      </c>
      <c r="CK170" s="264">
        <v>0.73439999999999994</v>
      </c>
      <c r="CL170" s="264">
        <v>2.5665999999999998</v>
      </c>
      <c r="CM170" s="264">
        <v>0.42349999999999999</v>
      </c>
      <c r="CN170" s="264">
        <v>0.44</v>
      </c>
      <c r="CO170" s="264">
        <v>0.79190000000000005</v>
      </c>
      <c r="CP170" s="264">
        <v>1.0452000000000001</v>
      </c>
      <c r="CQ170" s="264">
        <v>1.8564000000000003</v>
      </c>
      <c r="CR170" s="264">
        <v>0.63359999999999994</v>
      </c>
      <c r="CS170" s="264">
        <v>0.13229999999999997</v>
      </c>
      <c r="CT170" s="264">
        <v>0.95850000000000013</v>
      </c>
      <c r="CU170" s="107"/>
      <c r="CV170" s="216">
        <v>20.2242</v>
      </c>
      <c r="CW170" s="4">
        <f t="shared" si="114"/>
        <v>0.96885494505494496</v>
      </c>
      <c r="CX170" s="4">
        <f t="shared" si="115"/>
        <v>0.57104285714285696</v>
      </c>
      <c r="CY170" s="4">
        <f t="shared" si="116"/>
        <v>0.79933626373626365</v>
      </c>
      <c r="CZ170" s="4">
        <f t="shared" si="117"/>
        <v>2.711061538461538</v>
      </c>
      <c r="DA170" s="4">
        <f t="shared" si="118"/>
        <v>0.48432435897435888</v>
      </c>
      <c r="DB170" s="4">
        <f t="shared" si="119"/>
        <v>0.46504212454212451</v>
      </c>
      <c r="DC170" s="4">
        <f t="shared" si="139"/>
        <v>0.84893388278388271</v>
      </c>
      <c r="DD170" s="4">
        <f t="shared" si="125"/>
        <v>1.1191945054945054</v>
      </c>
      <c r="DE170" s="4">
        <f t="shared" si="156"/>
        <v>1.9878230769230765</v>
      </c>
      <c r="DF170" s="4">
        <f t="shared" si="126"/>
        <v>0.72478516483516475</v>
      </c>
      <c r="DG170" s="4">
        <f t="shared" si="127"/>
        <v>0.15374230769230768</v>
      </c>
      <c r="DH170" s="216">
        <f t="shared" si="128"/>
        <v>1.0440247252747252</v>
      </c>
      <c r="DI170" s="216">
        <f t="shared" si="163"/>
        <v>1.5721723443223441</v>
      </c>
      <c r="DJ170" s="216">
        <f t="shared" si="164"/>
        <v>1.2948999999999997</v>
      </c>
      <c r="DK170" s="216">
        <f t="shared" si="165"/>
        <v>0.38389175824175825</v>
      </c>
      <c r="DL170" s="216">
        <f t="shared" si="166"/>
        <v>3.6332060439560427</v>
      </c>
      <c r="DM170" s="216">
        <f t="shared" si="167"/>
        <v>0.68632380952380945</v>
      </c>
      <c r="DN170" s="216">
        <f t="shared" si="168"/>
        <v>1.5947542124542122</v>
      </c>
      <c r="DO170" s="216">
        <f t="shared" si="169"/>
        <v>0.93688974358974353</v>
      </c>
      <c r="DP170" s="216">
        <f t="shared" si="170"/>
        <v>0.86862857142857119</v>
      </c>
      <c r="DQ170" s="216">
        <f t="shared" si="122"/>
        <v>0.43799999999999994</v>
      </c>
      <c r="DR170" s="216">
        <f t="shared" si="158"/>
        <v>0.47449999999999998</v>
      </c>
      <c r="DS170" s="216">
        <f t="shared" si="140"/>
        <v>0.06</v>
      </c>
      <c r="DT170" s="216">
        <f t="shared" si="141"/>
        <v>7.1999999999999995E-2</v>
      </c>
      <c r="DW170" s="237">
        <f t="shared" si="157"/>
        <v>150</v>
      </c>
      <c r="DX170" s="238">
        <v>7.4999999999999997E-2</v>
      </c>
      <c r="DY170" s="202">
        <f t="shared" si="171"/>
        <v>0</v>
      </c>
      <c r="DZ170" s="202">
        <f t="shared" si="171"/>
        <v>0</v>
      </c>
      <c r="EA170" s="250">
        <v>0.77</v>
      </c>
      <c r="EB170" s="240">
        <f t="shared" ref="EB170:EB175" si="178">BX170*EA170</f>
        <v>0.56210000000000004</v>
      </c>
      <c r="EC170" s="167">
        <f>0.59*K170</f>
        <v>4.4249999999999998</v>
      </c>
      <c r="ED170" s="115"/>
      <c r="EE170" s="208">
        <v>0</v>
      </c>
      <c r="EF170" s="208"/>
      <c r="EG170" s="386">
        <v>0.18</v>
      </c>
      <c r="EH170" s="285">
        <f>125*K170/10</f>
        <v>93.75</v>
      </c>
      <c r="EI170" s="178">
        <f>IF(AR170="","",AR170*BL170)</f>
        <v>38.389175824175823</v>
      </c>
      <c r="EJ170" s="115"/>
      <c r="EK170" s="115"/>
      <c r="EL170" s="115"/>
      <c r="EM170" s="115"/>
      <c r="EN170" s="115"/>
      <c r="EO170" s="115"/>
      <c r="EP170" s="115"/>
      <c r="EQ170" s="115"/>
      <c r="ER170" s="115"/>
      <c r="ES170" s="115"/>
      <c r="ET170" s="115"/>
      <c r="EU170" s="115"/>
      <c r="EV170" s="115"/>
      <c r="EW170" s="115"/>
      <c r="EX170" s="115"/>
      <c r="EY170" s="115"/>
      <c r="EZ170" s="115"/>
      <c r="FA170" s="115"/>
      <c r="FB170" s="115"/>
      <c r="FC170" s="115"/>
      <c r="FD170" s="115"/>
      <c r="FE170" s="115"/>
      <c r="FF170" s="115"/>
      <c r="FG170" s="253">
        <v>4.1500000000000002E-2</v>
      </c>
      <c r="FH170" s="253">
        <v>0.88500000000000001</v>
      </c>
      <c r="FI170" s="115">
        <v>56.21</v>
      </c>
      <c r="FJ170" s="115">
        <v>1.22</v>
      </c>
      <c r="FK170" s="116">
        <f>SUM(FI170:FJ170)/100*K170</f>
        <v>4.3072499999999998</v>
      </c>
      <c r="FL170" s="115"/>
      <c r="FM170" s="242">
        <f t="shared" si="134"/>
        <v>0.38509812870835242</v>
      </c>
      <c r="FN170" s="242">
        <f t="shared" si="135"/>
        <v>0.29484253765403928</v>
      </c>
      <c r="FO170" s="243">
        <f t="shared" si="136"/>
        <v>1.3061145510835914</v>
      </c>
      <c r="FP170" s="243">
        <f t="shared" si="137"/>
        <v>5.6709265175718858E-2</v>
      </c>
      <c r="FQ170" s="244">
        <f t="shared" si="138"/>
        <v>9.6307692307692289E-2</v>
      </c>
    </row>
    <row r="171" spans="1:204" x14ac:dyDescent="0.15">
      <c r="A171" s="134"/>
      <c r="B171" s="143" t="s">
        <v>339</v>
      </c>
      <c r="C171">
        <v>4849</v>
      </c>
      <c r="D171" s="171">
        <f t="shared" si="172"/>
        <v>3338.6914999999999</v>
      </c>
      <c r="E171" s="171">
        <f t="shared" si="173"/>
        <v>3141.2195000000002</v>
      </c>
      <c r="F171" s="171">
        <f t="shared" si="174"/>
        <v>2018.5550000000001</v>
      </c>
      <c r="G171" s="1"/>
      <c r="H171" s="13">
        <v>89.31</v>
      </c>
      <c r="I171" s="13">
        <v>29.04</v>
      </c>
      <c r="J171" s="13">
        <v>7.51</v>
      </c>
      <c r="K171" s="13">
        <v>4.5</v>
      </c>
      <c r="M171" s="136">
        <v>4.3681581464555208</v>
      </c>
      <c r="N171" s="136"/>
      <c r="O171" s="136">
        <f>D171/D$24</f>
        <v>0.96745624456679225</v>
      </c>
      <c r="P171" s="136">
        <f t="shared" ref="P171" si="179">E171/E$24</f>
        <v>0.92524874815905744</v>
      </c>
      <c r="Q171" s="136">
        <f t="shared" ref="Q171" si="180">F171/F$24</f>
        <v>0.75544723053892215</v>
      </c>
      <c r="T171" s="136">
        <v>7.1527261132957802</v>
      </c>
      <c r="U171" s="136">
        <v>34.541396535232224</v>
      </c>
      <c r="V171" s="136">
        <v>12.488043362737804</v>
      </c>
      <c r="W171" s="136">
        <v>2.7739398448294184</v>
      </c>
      <c r="X171" s="136">
        <v>33.319162503985552</v>
      </c>
      <c r="AB171" s="136">
        <v>40.710000000000008</v>
      </c>
      <c r="AC171" s="136">
        <v>70</v>
      </c>
      <c r="AD171" s="136">
        <v>43.692400000000006</v>
      </c>
      <c r="AF171" s="264">
        <f t="shared" si="176"/>
        <v>1.2339340659340658</v>
      </c>
      <c r="AG171" s="264">
        <f t="shared" si="176"/>
        <v>0.75525274725274716</v>
      </c>
      <c r="AH171" s="265">
        <f>$I171/$I$169*AH$169</f>
        <v>1.0850109890109891</v>
      </c>
      <c r="AI171" s="265">
        <f t="shared" si="177"/>
        <v>3.3294945054945053</v>
      </c>
      <c r="AJ171" s="265">
        <f t="shared" si="177"/>
        <v>0.81907692307692315</v>
      </c>
      <c r="AK171" s="265">
        <f t="shared" si="177"/>
        <v>0.58505494505494515</v>
      </c>
      <c r="AL171" s="265">
        <f t="shared" si="177"/>
        <v>1.4254065934065936</v>
      </c>
      <c r="AM171" s="265">
        <f t="shared" si="177"/>
        <v>1.0530989010989011</v>
      </c>
      <c r="AN171" s="265">
        <f t="shared" si="177"/>
        <v>0.22338461538461538</v>
      </c>
      <c r="AO171" s="265">
        <f t="shared" si="177"/>
        <v>1.4360439560439562</v>
      </c>
      <c r="AP171" s="265">
        <f t="shared" si="177"/>
        <v>2.0530109890109891</v>
      </c>
      <c r="AQ171" s="265">
        <f t="shared" si="177"/>
        <v>1.9360000000000002</v>
      </c>
      <c r="AR171" s="265">
        <f t="shared" si="177"/>
        <v>0.54250549450549457</v>
      </c>
      <c r="AS171" s="264">
        <f t="shared" si="177"/>
        <v>4.6272527472527472</v>
      </c>
      <c r="AT171" s="264">
        <f t="shared" si="177"/>
        <v>1.1062857142857143</v>
      </c>
      <c r="AU171" s="264">
        <f t="shared" si="177"/>
        <v>2.223208791208791</v>
      </c>
      <c r="AV171" s="264">
        <f t="shared" si="177"/>
        <v>1.255208791208791</v>
      </c>
      <c r="AW171" s="264">
        <f t="shared" si="177"/>
        <v>1.1062857142857143</v>
      </c>
      <c r="AY171">
        <v>74</v>
      </c>
      <c r="AZ171">
        <v>81</v>
      </c>
      <c r="BA171">
        <v>78</v>
      </c>
      <c r="BB171" s="1">
        <v>76</v>
      </c>
      <c r="BC171" s="1">
        <v>84</v>
      </c>
      <c r="BD171" s="1">
        <v>61</v>
      </c>
      <c r="BE171" s="1">
        <v>82</v>
      </c>
      <c r="BF171" s="1">
        <v>81</v>
      </c>
      <c r="BG171" s="1">
        <v>71</v>
      </c>
      <c r="BH171" s="1">
        <v>71</v>
      </c>
      <c r="BI171" s="1">
        <v>75</v>
      </c>
      <c r="BJ171" s="1">
        <v>79</v>
      </c>
      <c r="BK171" s="1">
        <v>69</v>
      </c>
      <c r="BL171" s="1">
        <v>73</v>
      </c>
      <c r="BM171">
        <v>81</v>
      </c>
      <c r="BN171">
        <v>64</v>
      </c>
      <c r="BO171">
        <v>74</v>
      </c>
      <c r="BP171">
        <v>77</v>
      </c>
      <c r="BQ171">
        <v>81</v>
      </c>
      <c r="BS171" s="1">
        <v>0.12</v>
      </c>
      <c r="BT171" s="1"/>
      <c r="BU171" s="1">
        <v>0.9</v>
      </c>
      <c r="BV171" s="1">
        <v>0.28999999999999998</v>
      </c>
      <c r="BW171" s="1">
        <v>0.22</v>
      </c>
      <c r="BX171" s="1">
        <v>0.73</v>
      </c>
      <c r="BY171">
        <v>0.66</v>
      </c>
      <c r="CA171">
        <v>0.26</v>
      </c>
      <c r="CB171" s="136">
        <v>60</v>
      </c>
      <c r="CC171" s="136">
        <v>65</v>
      </c>
      <c r="CD171" s="284">
        <v>50</v>
      </c>
      <c r="CE171" s="284">
        <v>60</v>
      </c>
      <c r="CF171" s="136">
        <v>28.497000000000007</v>
      </c>
      <c r="CH171" s="136">
        <v>17.491199999999999</v>
      </c>
      <c r="CI171" s="264">
        <v>0.85839999999999994</v>
      </c>
      <c r="CJ171" s="264">
        <v>0.52539999999999998</v>
      </c>
      <c r="CK171" s="264">
        <v>0.73439999999999994</v>
      </c>
      <c r="CL171" s="264">
        <v>2.5665999999999998</v>
      </c>
      <c r="CM171" s="264">
        <v>0.42349999999999999</v>
      </c>
      <c r="CN171" s="264">
        <v>0.44</v>
      </c>
      <c r="CO171" s="264">
        <v>0.79190000000000005</v>
      </c>
      <c r="CP171" s="264">
        <v>1.0452000000000001</v>
      </c>
      <c r="CQ171" s="264">
        <v>1.8564000000000003</v>
      </c>
      <c r="CR171" s="264">
        <v>0.63359999999999994</v>
      </c>
      <c r="CS171" s="264">
        <v>0.13229999999999997</v>
      </c>
      <c r="CT171" s="264">
        <v>0.95850000000000013</v>
      </c>
      <c r="CU171" s="107"/>
      <c r="CV171" s="216">
        <v>20.2242</v>
      </c>
      <c r="CW171" s="4">
        <f t="shared" si="114"/>
        <v>0.99948659340659329</v>
      </c>
      <c r="CX171" s="4">
        <f t="shared" si="115"/>
        <v>0.58909714285714276</v>
      </c>
      <c r="CY171" s="4">
        <f t="shared" si="116"/>
        <v>0.82460835164835178</v>
      </c>
      <c r="CZ171" s="4">
        <f t="shared" si="117"/>
        <v>2.7967753846153847</v>
      </c>
      <c r="DA171" s="4">
        <f t="shared" si="118"/>
        <v>0.49963692307692315</v>
      </c>
      <c r="DB171" s="4">
        <f t="shared" si="119"/>
        <v>0.47974505494505498</v>
      </c>
      <c r="DC171" s="4">
        <f t="shared" si="139"/>
        <v>0.87577406593406604</v>
      </c>
      <c r="DD171" s="4">
        <f t="shared" si="125"/>
        <v>1.1545793406593408</v>
      </c>
      <c r="DE171" s="4">
        <f t="shared" si="156"/>
        <v>2.0506707692307691</v>
      </c>
      <c r="DF171" s="4">
        <f t="shared" si="126"/>
        <v>0.74770021978021983</v>
      </c>
      <c r="DG171" s="4">
        <f t="shared" si="127"/>
        <v>0.1586030769230769</v>
      </c>
      <c r="DH171" s="216">
        <f t="shared" si="128"/>
        <v>1.0770329670329672</v>
      </c>
      <c r="DI171" s="216">
        <f t="shared" si="163"/>
        <v>1.6218786813186812</v>
      </c>
      <c r="DJ171" s="216">
        <f t="shared" si="164"/>
        <v>1.3358400000000001</v>
      </c>
      <c r="DK171" s="216">
        <f t="shared" si="165"/>
        <v>0.396029010989011</v>
      </c>
      <c r="DL171" s="216">
        <f t="shared" si="166"/>
        <v>3.7480747252747251</v>
      </c>
      <c r="DM171" s="216">
        <f t="shared" si="167"/>
        <v>0.70802285714285718</v>
      </c>
      <c r="DN171" s="216">
        <f t="shared" si="168"/>
        <v>1.6451745054945053</v>
      </c>
      <c r="DO171" s="216">
        <f t="shared" si="169"/>
        <v>0.96651076923076917</v>
      </c>
      <c r="DP171" s="216">
        <f t="shared" si="170"/>
        <v>0.89609142857142854</v>
      </c>
      <c r="DQ171" s="216">
        <f t="shared" si="122"/>
        <v>0.43799999999999994</v>
      </c>
      <c r="DR171" s="216">
        <f t="shared" si="158"/>
        <v>0.47449999999999998</v>
      </c>
      <c r="DS171" s="216">
        <f t="shared" si="140"/>
        <v>0.06</v>
      </c>
      <c r="DT171" s="216">
        <f t="shared" si="141"/>
        <v>7.1999999999999995E-2</v>
      </c>
      <c r="DW171" s="237">
        <f t="shared" si="157"/>
        <v>150</v>
      </c>
      <c r="DX171" s="238">
        <v>7.4999999999999997E-2</v>
      </c>
      <c r="DY171" s="202">
        <f t="shared" si="171"/>
        <v>0</v>
      </c>
      <c r="DZ171" s="202">
        <f t="shared" si="171"/>
        <v>0</v>
      </c>
      <c r="EA171" s="250">
        <v>0.77</v>
      </c>
      <c r="EB171" s="240">
        <f t="shared" si="178"/>
        <v>0.56210000000000004</v>
      </c>
      <c r="EC171" s="167">
        <f>0.59*K171</f>
        <v>2.6549999999999998</v>
      </c>
      <c r="ED171" s="115"/>
      <c r="EE171" s="208">
        <v>0</v>
      </c>
      <c r="EF171" s="208"/>
      <c r="EG171" s="386">
        <v>0.18</v>
      </c>
      <c r="EH171" s="285">
        <f>125*K171/10</f>
        <v>56.25</v>
      </c>
      <c r="EI171" s="178">
        <f>IF(AR171="","",AR171*BL171)</f>
        <v>39.6029010989011</v>
      </c>
      <c r="EJ171" s="115"/>
      <c r="EK171" s="115"/>
      <c r="EL171" s="115"/>
      <c r="EM171" s="115"/>
      <c r="EN171" s="115"/>
      <c r="EO171" s="115"/>
      <c r="EP171" s="115"/>
      <c r="EQ171" s="115"/>
      <c r="ER171" s="115"/>
      <c r="ES171" s="115"/>
      <c r="ET171" s="115"/>
      <c r="EU171" s="115"/>
      <c r="EV171" s="115"/>
      <c r="EW171" s="115"/>
      <c r="EX171" s="115"/>
      <c r="EY171" s="115"/>
      <c r="EZ171" s="115"/>
      <c r="FA171" s="115"/>
      <c r="FB171" s="115"/>
      <c r="FC171" s="115"/>
      <c r="FD171" s="115"/>
      <c r="FE171" s="115"/>
      <c r="FF171" s="115"/>
      <c r="FG171" s="253">
        <v>4.1500000000000002E-2</v>
      </c>
      <c r="FH171" s="253">
        <v>0.88500000000000001</v>
      </c>
      <c r="FI171" s="115">
        <v>56.21</v>
      </c>
      <c r="FJ171" s="115">
        <v>1.22</v>
      </c>
      <c r="FK171" s="116">
        <f>SUM(FI171:FJ171)/100*K171</f>
        <v>2.5843500000000001</v>
      </c>
      <c r="FL171" s="115"/>
      <c r="FM171" s="242">
        <f t="shared" si="134"/>
        <v>0.38509812870835242</v>
      </c>
      <c r="FN171" s="242">
        <f t="shared" si="135"/>
        <v>0.29484253765403928</v>
      </c>
      <c r="FO171" s="243">
        <f t="shared" si="136"/>
        <v>1.3061145510835914</v>
      </c>
      <c r="FP171" s="243">
        <f t="shared" si="137"/>
        <v>5.6709265175718844E-2</v>
      </c>
      <c r="FQ171" s="244">
        <f t="shared" si="138"/>
        <v>9.6307692307692316E-2</v>
      </c>
    </row>
    <row r="172" spans="1:204" ht="14" x14ac:dyDescent="0.15">
      <c r="B172" s="151" t="s">
        <v>462</v>
      </c>
      <c r="D172" s="202"/>
      <c r="E172" s="202">
        <v>3590</v>
      </c>
      <c r="F172" s="202">
        <v>2212</v>
      </c>
      <c r="G172" s="1"/>
      <c r="H172" s="362">
        <v>95.76</v>
      </c>
      <c r="I172" s="207">
        <v>70.59</v>
      </c>
      <c r="J172" s="208">
        <v>7</v>
      </c>
      <c r="K172" s="208">
        <v>1.43</v>
      </c>
      <c r="U172" s="136">
        <v>19.5</v>
      </c>
      <c r="V172" s="136">
        <v>9.75</v>
      </c>
      <c r="W172" s="136">
        <v>0.88</v>
      </c>
      <c r="AF172" s="264">
        <v>4.47</v>
      </c>
      <c r="AG172" s="264">
        <v>1.74</v>
      </c>
      <c r="AH172" s="266">
        <v>3.57</v>
      </c>
      <c r="AI172" s="266">
        <v>5.71</v>
      </c>
      <c r="AJ172" s="266">
        <v>4.12</v>
      </c>
      <c r="AK172" s="267">
        <v>1.02</v>
      </c>
      <c r="AL172" s="265">
        <v>3.7</v>
      </c>
      <c r="AM172" s="266">
        <v>2.78</v>
      </c>
      <c r="AN172" s="266">
        <v>1</v>
      </c>
      <c r="AO172" s="266">
        <v>3.62</v>
      </c>
      <c r="AP172" s="266">
        <v>1.1299999999999999</v>
      </c>
      <c r="AQ172" s="266"/>
      <c r="AR172" s="266"/>
      <c r="AS172" s="266"/>
      <c r="AT172" s="266"/>
      <c r="AU172" s="266"/>
      <c r="AV172" s="266"/>
      <c r="AW172" s="264"/>
      <c r="AY172">
        <v>70.59</v>
      </c>
      <c r="AZ172">
        <v>95.3</v>
      </c>
      <c r="BA172">
        <v>89.66</v>
      </c>
      <c r="BB172" s="223">
        <v>89.08</v>
      </c>
      <c r="BC172" s="223">
        <v>88.09</v>
      </c>
      <c r="BD172" s="223">
        <v>86.65</v>
      </c>
      <c r="BE172" s="178">
        <v>90.2</v>
      </c>
      <c r="BF172" s="216">
        <v>89.73</v>
      </c>
      <c r="BG172" s="223">
        <v>84.89</v>
      </c>
      <c r="BH172" s="223">
        <v>92</v>
      </c>
      <c r="BI172" s="223">
        <v>86.74</v>
      </c>
      <c r="BJ172" s="223"/>
      <c r="BK172" s="223"/>
      <c r="BL172" s="178">
        <v>77.88</v>
      </c>
      <c r="BM172" s="178"/>
      <c r="BN172" s="178"/>
      <c r="BO172" s="178"/>
      <c r="BP172" s="178"/>
      <c r="BQ172" s="4"/>
      <c r="BS172" s="207">
        <v>0.19</v>
      </c>
      <c r="BT172" s="115"/>
      <c r="BU172" s="208">
        <v>0.2</v>
      </c>
      <c r="BV172" s="24">
        <v>0.05</v>
      </c>
      <c r="BW172" s="208"/>
      <c r="BX172" s="207">
        <v>0.38</v>
      </c>
      <c r="BY172">
        <v>0.82</v>
      </c>
      <c r="CB172" s="136"/>
      <c r="CC172" s="136">
        <v>89.47</v>
      </c>
      <c r="CH172" s="136"/>
      <c r="CI172" s="264"/>
      <c r="CJ172" s="264"/>
      <c r="CK172" s="264"/>
      <c r="CL172" s="264"/>
      <c r="CM172" s="264"/>
      <c r="CN172" s="264"/>
      <c r="CO172" s="264"/>
      <c r="CP172" s="264"/>
      <c r="CQ172" s="264"/>
      <c r="CR172" s="264"/>
      <c r="CS172" s="264"/>
      <c r="CT172" s="264"/>
      <c r="CV172" s="216"/>
      <c r="CW172" s="4">
        <f t="shared" ref="CW172" si="181">AF172*AZ172/100</f>
        <v>4.2599099999999996</v>
      </c>
      <c r="CX172" s="4">
        <f t="shared" ref="CX172" si="182">AG172*BA172/100</f>
        <v>1.560084</v>
      </c>
      <c r="CY172" s="4">
        <f t="shared" ref="CY172" si="183">AH172*BB172/100</f>
        <v>3.1801560000000002</v>
      </c>
      <c r="CZ172" s="4">
        <f t="shared" ref="CZ172" si="184">AI172*BC172/100</f>
        <v>5.0299389999999997</v>
      </c>
      <c r="DA172" s="4">
        <f t="shared" ref="DA172" si="185">AJ172*BD172/100</f>
        <v>3.5699800000000006</v>
      </c>
      <c r="DB172" s="4">
        <f t="shared" ref="DB172" si="186">AK172*BE172/100</f>
        <v>0.92004000000000008</v>
      </c>
      <c r="DC172" s="4">
        <f>(AK172*BE172+BL172*AR172)/100</f>
        <v>0.92004000000000008</v>
      </c>
      <c r="DD172" s="4">
        <f t="shared" ref="DD172" si="187">AL172*BF172/100</f>
        <v>3.3200100000000003</v>
      </c>
      <c r="DE172" s="4">
        <f t="shared" ref="DE172" si="188">DD172+BQ172*AW172/100</f>
        <v>3.3200100000000003</v>
      </c>
      <c r="DF172" s="4">
        <f t="shared" ref="DF172" si="189">AM172*BG172/100</f>
        <v>2.3599419999999998</v>
      </c>
      <c r="DG172" s="4">
        <f t="shared" ref="DG172" si="190">AN172*BH172/100</f>
        <v>0.92</v>
      </c>
      <c r="DH172" s="216">
        <f t="shared" ref="DH172:DH198" si="191">AO172*BI172/100</f>
        <v>3.1399880000000002</v>
      </c>
      <c r="DI172" s="216">
        <f t="shared" ref="DI172:DI198" si="192">AP172*BJ172/100</f>
        <v>0</v>
      </c>
      <c r="DJ172" s="216">
        <f t="shared" ref="DJ172:DJ198" si="193">AQ172*BK172/100</f>
        <v>0</v>
      </c>
      <c r="DK172" s="216">
        <f t="shared" ref="DK172:DK198" si="194">AR172*BL172/100</f>
        <v>0</v>
      </c>
      <c r="DL172" s="216">
        <f t="shared" ref="DL172:DL198" si="195">AS172*BM172/100</f>
        <v>0</v>
      </c>
      <c r="DM172" s="216">
        <f t="shared" ref="DM172:DM198" si="196">AT172*BN172/100</f>
        <v>0</v>
      </c>
      <c r="DN172" s="216">
        <f t="shared" ref="DN172:DN198" si="197">AU172*BO172/100</f>
        <v>0</v>
      </c>
      <c r="DO172" s="216">
        <f t="shared" ref="DO172:DO198" si="198">AV172*BP172/100</f>
        <v>0</v>
      </c>
      <c r="DP172" s="216">
        <f t="shared" ref="DP172:DP198" si="199">AW172*BQ172/100</f>
        <v>0</v>
      </c>
      <c r="DQ172" s="216">
        <f t="shared" si="122"/>
        <v>0</v>
      </c>
      <c r="DR172" s="216">
        <f t="shared" si="158"/>
        <v>0.33998600000000001</v>
      </c>
      <c r="DS172" s="216">
        <f t="shared" si="140"/>
        <v>0</v>
      </c>
      <c r="DT172" s="216">
        <f t="shared" si="141"/>
        <v>0</v>
      </c>
      <c r="DV172" s="236"/>
      <c r="DW172" s="237">
        <f>DX172*2000</f>
        <v>1312</v>
      </c>
      <c r="DX172" s="238">
        <v>0.65600000000000003</v>
      </c>
      <c r="DY172" s="210"/>
      <c r="DZ172" s="210"/>
      <c r="EA172" s="254">
        <v>0.89</v>
      </c>
      <c r="EB172" s="240">
        <f t="shared" si="178"/>
        <v>0.3382</v>
      </c>
      <c r="EC172" s="208"/>
      <c r="ED172" s="208"/>
      <c r="EE172" s="208"/>
      <c r="EF172" s="208"/>
      <c r="EG172" s="386"/>
      <c r="EH172" s="208"/>
      <c r="EI172" s="178">
        <v>0.77</v>
      </c>
      <c r="EJ172" s="115"/>
      <c r="EK172" s="248">
        <v>1.56E-3</v>
      </c>
      <c r="EL172" s="248">
        <v>1.2500000000000001E-2</v>
      </c>
      <c r="EM172" s="248">
        <v>7.3499999999999998E-4</v>
      </c>
      <c r="EN172" s="248">
        <v>2E-3</v>
      </c>
      <c r="EO172" s="115"/>
      <c r="EP172" s="115"/>
      <c r="EQ172" s="115"/>
      <c r="ER172" s="115"/>
      <c r="ES172" s="115"/>
      <c r="ET172" s="115"/>
      <c r="EU172" s="115"/>
      <c r="EV172" s="115"/>
      <c r="EW172" s="115"/>
      <c r="EX172" s="115"/>
      <c r="EY172" s="115"/>
      <c r="EZ172" s="115"/>
      <c r="FA172" s="115"/>
      <c r="FB172" s="115"/>
      <c r="FC172" s="115"/>
      <c r="FD172" s="115"/>
      <c r="FE172" s="115"/>
      <c r="FF172" s="115"/>
      <c r="FG172" s="115"/>
      <c r="FH172" s="115">
        <v>95.76</v>
      </c>
      <c r="FI172" s="115"/>
      <c r="FJ172" s="115"/>
      <c r="FK172" s="115"/>
      <c r="FL172" s="115"/>
      <c r="FM172" s="242">
        <f t="shared" si="134"/>
        <v>0.62425965801970962</v>
      </c>
      <c r="FN172" s="242">
        <f t="shared" si="135"/>
        <v>0.63224544074987798</v>
      </c>
      <c r="FO172" s="243">
        <f t="shared" si="136"/>
        <v>0.98736917308459082</v>
      </c>
      <c r="FP172" s="243">
        <f t="shared" si="137"/>
        <v>0.18290480262285488</v>
      </c>
      <c r="FQ172" s="244">
        <f t="shared" si="138"/>
        <v>7.1255687774472304E-2</v>
      </c>
    </row>
    <row r="173" spans="1:204" ht="14" x14ac:dyDescent="0.15">
      <c r="B173" s="96" t="s">
        <v>470</v>
      </c>
      <c r="D173" s="202"/>
      <c r="E173" s="202">
        <v>3617</v>
      </c>
      <c r="F173" s="202">
        <v>2273</v>
      </c>
      <c r="G173" s="1"/>
      <c r="H173" s="13">
        <v>93</v>
      </c>
      <c r="I173" s="225">
        <v>56</v>
      </c>
      <c r="J173" s="213">
        <v>4</v>
      </c>
      <c r="K173" s="213">
        <v>3</v>
      </c>
      <c r="M173">
        <v>7</v>
      </c>
      <c r="T173">
        <v>0.6</v>
      </c>
      <c r="U173">
        <v>9.1999999999999993</v>
      </c>
      <c r="V173">
        <v>5.8</v>
      </c>
      <c r="AF173" s="264">
        <v>3.97</v>
      </c>
      <c r="AG173" s="264">
        <v>1.47</v>
      </c>
      <c r="AH173" s="266">
        <v>2.75</v>
      </c>
      <c r="AI173" s="266">
        <v>4.32</v>
      </c>
      <c r="AJ173" s="266">
        <v>3.45</v>
      </c>
      <c r="AK173" s="267">
        <v>0.77</v>
      </c>
      <c r="AL173" s="268">
        <v>2.9</v>
      </c>
      <c r="AM173" s="266">
        <v>2.1800000000000002</v>
      </c>
      <c r="AN173" s="266">
        <v>0.77</v>
      </c>
      <c r="AO173" s="266">
        <v>2.82</v>
      </c>
      <c r="AP173" s="266">
        <v>2.41</v>
      </c>
      <c r="AQ173" s="266">
        <v>6.34</v>
      </c>
      <c r="AR173" s="266">
        <v>0.82</v>
      </c>
      <c r="AS173" s="266">
        <v>9.92</v>
      </c>
      <c r="AT173" s="266">
        <v>2.37</v>
      </c>
      <c r="AU173" s="266">
        <v>2.87</v>
      </c>
      <c r="AV173" s="266">
        <v>2.4300000000000002</v>
      </c>
      <c r="AW173" s="268">
        <v>2.0299999999999998</v>
      </c>
      <c r="AX173" s="1"/>
      <c r="AY173" s="272">
        <v>56</v>
      </c>
      <c r="AZ173" s="273">
        <v>95.1</v>
      </c>
      <c r="BA173" s="274">
        <v>88.4</v>
      </c>
      <c r="BB173" s="274">
        <v>88.3</v>
      </c>
      <c r="BC173" s="274">
        <v>88.8</v>
      </c>
      <c r="BD173" s="274">
        <v>87.1</v>
      </c>
      <c r="BE173" s="275">
        <v>90.6</v>
      </c>
      <c r="BF173" s="272">
        <v>89.8</v>
      </c>
      <c r="BG173" s="274">
        <v>85.1</v>
      </c>
      <c r="BH173" s="274">
        <v>88.6</v>
      </c>
      <c r="BI173" s="274">
        <v>91</v>
      </c>
      <c r="BJ173" s="274">
        <v>87.5</v>
      </c>
      <c r="BK173" s="274">
        <v>87.9</v>
      </c>
      <c r="BL173" s="275">
        <v>84.1</v>
      </c>
      <c r="BM173" s="275">
        <v>90.6</v>
      </c>
      <c r="BN173" s="275">
        <v>90.7</v>
      </c>
      <c r="BO173" s="275">
        <v>91.2</v>
      </c>
      <c r="BP173" s="275">
        <v>91</v>
      </c>
      <c r="BQ173" s="276">
        <v>89.6</v>
      </c>
      <c r="BS173" s="267">
        <v>0.35</v>
      </c>
      <c r="BT173" s="265">
        <v>0.1</v>
      </c>
      <c r="BU173" s="270">
        <v>2.5</v>
      </c>
      <c r="BV173" s="265">
        <v>0.35</v>
      </c>
      <c r="BW173" s="270">
        <v>0.02</v>
      </c>
      <c r="BX173" s="267">
        <v>0.75</v>
      </c>
      <c r="BY173" s="264">
        <v>0.45</v>
      </c>
      <c r="CA173" s="279"/>
      <c r="CB173" s="282"/>
      <c r="CC173" s="282">
        <v>59.8</v>
      </c>
      <c r="CD173" s="279"/>
      <c r="CE173" s="279"/>
      <c r="CF173" s="279"/>
      <c r="CG173" s="279"/>
      <c r="CH173" s="136">
        <v>56</v>
      </c>
      <c r="CI173" s="264"/>
      <c r="CJ173" s="264"/>
      <c r="CK173" s="264"/>
      <c r="CL173" s="264"/>
      <c r="CM173" s="264"/>
      <c r="CN173" s="264"/>
      <c r="CO173" s="264"/>
      <c r="CP173" s="264"/>
      <c r="CQ173" s="264"/>
      <c r="CR173" s="264"/>
      <c r="CS173" s="264"/>
      <c r="CT173" s="264"/>
      <c r="CV173" s="216">
        <v>56</v>
      </c>
      <c r="CW173" s="4">
        <f t="shared" si="114"/>
        <v>3.7754699999999999</v>
      </c>
      <c r="CX173" s="4">
        <f t="shared" ref="CX173:CX187" si="200">AG173*BA173/100</f>
        <v>1.29948</v>
      </c>
      <c r="CY173" s="4">
        <f t="shared" si="116"/>
        <v>2.4282499999999998</v>
      </c>
      <c r="CZ173" s="4">
        <f t="shared" si="117"/>
        <v>3.83616</v>
      </c>
      <c r="DA173" s="4">
        <f t="shared" si="118"/>
        <v>3.00495</v>
      </c>
      <c r="DB173" s="4">
        <f t="shared" si="119"/>
        <v>0.69762000000000002</v>
      </c>
      <c r="DC173" s="4">
        <f t="shared" si="139"/>
        <v>1.3872399999999998</v>
      </c>
      <c r="DD173" s="4">
        <f t="shared" si="125"/>
        <v>2.6041999999999996</v>
      </c>
      <c r="DE173" s="4">
        <f t="shared" si="156"/>
        <v>4.4230799999999997</v>
      </c>
      <c r="DF173" s="4">
        <f t="shared" si="126"/>
        <v>1.8551800000000001</v>
      </c>
      <c r="DG173" s="4">
        <f t="shared" si="127"/>
        <v>0.68221999999999994</v>
      </c>
      <c r="DH173" s="216">
        <f t="shared" si="191"/>
        <v>2.5662000000000003</v>
      </c>
      <c r="DI173" s="216">
        <f t="shared" si="192"/>
        <v>2.1087500000000001</v>
      </c>
      <c r="DJ173" s="216">
        <f t="shared" si="193"/>
        <v>5.5728600000000004</v>
      </c>
      <c r="DK173" s="216">
        <f t="shared" si="194"/>
        <v>0.6896199999999999</v>
      </c>
      <c r="DL173" s="216">
        <f t="shared" si="195"/>
        <v>8.98752</v>
      </c>
      <c r="DM173" s="216">
        <f t="shared" si="196"/>
        <v>2.1495899999999999</v>
      </c>
      <c r="DN173" s="216">
        <f t="shared" si="197"/>
        <v>2.6174400000000002</v>
      </c>
      <c r="DO173" s="216">
        <f t="shared" si="198"/>
        <v>2.2113</v>
      </c>
      <c r="DP173" s="216">
        <f t="shared" si="199"/>
        <v>1.8188799999999998</v>
      </c>
      <c r="DQ173" s="216">
        <f t="shared" si="122"/>
        <v>0</v>
      </c>
      <c r="DR173" s="216">
        <f t="shared" si="158"/>
        <v>0.44849999999999995</v>
      </c>
      <c r="DS173" s="216">
        <f t="shared" si="140"/>
        <v>0</v>
      </c>
      <c r="DT173" s="216">
        <f t="shared" si="141"/>
        <v>0</v>
      </c>
      <c r="DV173" s="236"/>
      <c r="DW173" s="237">
        <f t="shared" si="157"/>
        <v>1000</v>
      </c>
      <c r="DX173" s="238">
        <v>0.5</v>
      </c>
      <c r="DY173" s="210"/>
      <c r="DZ173" s="210"/>
      <c r="EA173" s="239"/>
      <c r="EB173" s="240">
        <f t="shared" si="178"/>
        <v>0</v>
      </c>
      <c r="EC173" s="208"/>
      <c r="ED173" s="208"/>
      <c r="EE173" s="208"/>
      <c r="EF173" s="208"/>
      <c r="EG173" s="386">
        <f>BX173*0.662</f>
        <v>0.49650000000000005</v>
      </c>
      <c r="EH173" s="208"/>
      <c r="EI173" s="178">
        <v>0.82</v>
      </c>
      <c r="EJ173" s="115"/>
      <c r="EK173" s="248">
        <v>6.0000000000000002E-5</v>
      </c>
      <c r="EL173" s="248">
        <v>2.0000000000000001E-4</v>
      </c>
      <c r="EM173" s="248">
        <v>4.0000000000000003E-5</v>
      </c>
      <c r="EN173" s="248">
        <v>2.0000000000000002E-5</v>
      </c>
      <c r="EO173" s="248">
        <v>2.0000000000000002E-5</v>
      </c>
      <c r="EP173" s="248">
        <v>1.0000000000000001E-5</v>
      </c>
      <c r="EQ173" s="248"/>
      <c r="ER173" s="115"/>
      <c r="ES173" s="115"/>
      <c r="ET173" s="115"/>
      <c r="EU173" s="115"/>
      <c r="EV173" s="115"/>
      <c r="EW173" s="115"/>
      <c r="EX173" s="115"/>
      <c r="EY173" s="115"/>
      <c r="EZ173" s="115"/>
      <c r="FA173" s="115"/>
      <c r="FB173" s="115"/>
      <c r="FC173" s="115"/>
      <c r="FD173" s="115"/>
      <c r="FE173" s="115"/>
      <c r="FF173" s="115"/>
      <c r="FG173" s="115"/>
      <c r="FH173" s="115"/>
      <c r="FI173" s="115"/>
      <c r="FJ173" s="115"/>
      <c r="FK173" s="115"/>
      <c r="FL173" s="115"/>
      <c r="FM173" s="242">
        <f t="shared" si="134"/>
        <v>0.66895020020020024</v>
      </c>
      <c r="FN173" s="242">
        <f t="shared" si="135"/>
        <v>0.6329897605939272</v>
      </c>
      <c r="FO173" s="243">
        <f t="shared" si="136"/>
        <v>1.0568104602079689</v>
      </c>
      <c r="FP173" s="243">
        <f t="shared" si="137"/>
        <v>0.17783929763096429</v>
      </c>
      <c r="FQ173" s="244">
        <f t="shared" si="138"/>
        <v>6.8502857142857143E-2</v>
      </c>
    </row>
    <row r="174" spans="1:204" ht="14" x14ac:dyDescent="0.15">
      <c r="B174" s="96" t="s">
        <v>421</v>
      </c>
      <c r="D174" s="206"/>
      <c r="E174" s="206">
        <v>2706</v>
      </c>
      <c r="F174" s="203">
        <f>E174*0.77</f>
        <v>2083.62</v>
      </c>
      <c r="G174" s="1"/>
      <c r="H174" s="13"/>
      <c r="I174" s="225">
        <v>118.75</v>
      </c>
      <c r="J174" s="213"/>
      <c r="K174" s="213"/>
      <c r="AF174" s="264"/>
      <c r="AG174" s="264"/>
      <c r="AH174" s="266"/>
      <c r="AI174" s="266"/>
      <c r="AJ174" s="266"/>
      <c r="AK174" s="267"/>
      <c r="AL174" s="265"/>
      <c r="AM174" s="266"/>
      <c r="AN174" s="266"/>
      <c r="AO174" s="266"/>
      <c r="AP174" s="266"/>
      <c r="AQ174" s="266"/>
      <c r="AR174" s="266"/>
      <c r="AS174" s="266"/>
      <c r="AT174" s="266">
        <v>99</v>
      </c>
      <c r="AU174" s="266"/>
      <c r="AV174" s="266"/>
      <c r="AW174" s="265"/>
      <c r="AX174" s="1"/>
      <c r="AY174" s="272"/>
      <c r="AZ174" s="272"/>
      <c r="BA174" s="272"/>
      <c r="BB174" s="274"/>
      <c r="BC174" s="274"/>
      <c r="BD174" s="274"/>
      <c r="BE174" s="275"/>
      <c r="BF174" s="272"/>
      <c r="BG174" s="274"/>
      <c r="BH174" s="274"/>
      <c r="BI174" s="274"/>
      <c r="BJ174" s="274"/>
      <c r="BK174" s="274"/>
      <c r="BL174" s="275"/>
      <c r="BM174" s="275"/>
      <c r="BN174" s="277">
        <v>100</v>
      </c>
      <c r="BO174" s="275"/>
      <c r="BP174" s="275"/>
      <c r="BQ174" s="272"/>
      <c r="BR174" s="1"/>
      <c r="BS174" s="267"/>
      <c r="BT174" s="265"/>
      <c r="BU174" s="270"/>
      <c r="BV174" s="265"/>
      <c r="BW174" s="270"/>
      <c r="BX174" s="267"/>
      <c r="BY174" s="264"/>
      <c r="CA174" s="279"/>
      <c r="CB174" s="282"/>
      <c r="CC174" s="282"/>
      <c r="CD174" s="279"/>
      <c r="CE174" s="279"/>
      <c r="CF174" s="279"/>
      <c r="CG174" s="279"/>
      <c r="CH174" s="136"/>
      <c r="CI174" s="264"/>
      <c r="CJ174" s="264"/>
      <c r="CK174" s="264"/>
      <c r="CL174" s="264"/>
      <c r="CM174" s="264"/>
      <c r="CN174" s="264"/>
      <c r="CO174" s="264"/>
      <c r="CP174" s="264"/>
      <c r="CQ174" s="264"/>
      <c r="CR174" s="264"/>
      <c r="CS174" s="264"/>
      <c r="CT174" s="264"/>
      <c r="CV174" s="216"/>
      <c r="CW174" s="4">
        <f t="shared" si="114"/>
        <v>0</v>
      </c>
      <c r="CX174" s="4">
        <f t="shared" si="200"/>
        <v>0</v>
      </c>
      <c r="CY174" s="4">
        <f t="shared" si="116"/>
        <v>0</v>
      </c>
      <c r="CZ174" s="4">
        <f t="shared" si="117"/>
        <v>0</v>
      </c>
      <c r="DA174" s="4">
        <f t="shared" si="118"/>
        <v>0</v>
      </c>
      <c r="DB174" s="4">
        <f t="shared" si="119"/>
        <v>0</v>
      </c>
      <c r="DC174" s="4">
        <f t="shared" si="139"/>
        <v>0</v>
      </c>
      <c r="DD174" s="4">
        <f t="shared" si="125"/>
        <v>0</v>
      </c>
      <c r="DE174" s="4">
        <f t="shared" si="156"/>
        <v>0</v>
      </c>
      <c r="DF174" s="4">
        <f t="shared" si="126"/>
        <v>0</v>
      </c>
      <c r="DG174" s="4">
        <f t="shared" si="127"/>
        <v>0</v>
      </c>
      <c r="DH174" s="216">
        <f t="shared" si="191"/>
        <v>0</v>
      </c>
      <c r="DI174" s="216">
        <f t="shared" si="192"/>
        <v>0</v>
      </c>
      <c r="DJ174" s="216">
        <f t="shared" si="193"/>
        <v>0</v>
      </c>
      <c r="DK174" s="216">
        <f t="shared" si="194"/>
        <v>0</v>
      </c>
      <c r="DL174" s="216">
        <f t="shared" si="195"/>
        <v>0</v>
      </c>
      <c r="DM174" s="216">
        <f t="shared" si="196"/>
        <v>99</v>
      </c>
      <c r="DN174" s="216">
        <f t="shared" si="197"/>
        <v>0</v>
      </c>
      <c r="DO174" s="216">
        <f t="shared" si="198"/>
        <v>0</v>
      </c>
      <c r="DP174" s="216">
        <f t="shared" si="199"/>
        <v>0</v>
      </c>
      <c r="DQ174" s="216">
        <f t="shared" si="122"/>
        <v>0</v>
      </c>
      <c r="DR174" s="216">
        <f t="shared" si="158"/>
        <v>0</v>
      </c>
      <c r="DS174" s="216">
        <f t="shared" si="140"/>
        <v>0</v>
      </c>
      <c r="DT174" s="216">
        <f t="shared" si="141"/>
        <v>0</v>
      </c>
      <c r="DV174" s="236"/>
      <c r="DW174" s="237">
        <f t="shared" si="157"/>
        <v>0</v>
      </c>
      <c r="DX174" s="238"/>
      <c r="DY174" s="210"/>
      <c r="DZ174" s="210"/>
      <c r="EA174" s="239"/>
      <c r="EB174" s="240">
        <f t="shared" si="178"/>
        <v>0</v>
      </c>
      <c r="EC174" s="208"/>
      <c r="ED174" s="208"/>
      <c r="EE174" s="208"/>
      <c r="EF174" s="208"/>
      <c r="EG174" s="386"/>
      <c r="EH174" s="208"/>
      <c r="EI174" s="178"/>
      <c r="EJ174" s="115"/>
      <c r="EK174" s="115"/>
      <c r="EL174" s="115"/>
      <c r="EM174" s="115"/>
      <c r="EN174" s="115"/>
      <c r="EO174" s="115"/>
      <c r="EP174" s="115"/>
      <c r="EQ174" s="115"/>
      <c r="ER174" s="115"/>
      <c r="ES174" s="115"/>
      <c r="ET174" s="115"/>
      <c r="EU174" s="115"/>
      <c r="EV174" s="115"/>
      <c r="EW174" s="115"/>
      <c r="EX174" s="115"/>
      <c r="EY174" s="115"/>
      <c r="EZ174" s="115"/>
      <c r="FA174" s="115"/>
      <c r="FB174" s="115"/>
      <c r="FC174" s="115"/>
      <c r="FD174" s="115"/>
      <c r="FE174" s="115"/>
      <c r="FF174" s="115"/>
      <c r="FG174" s="115"/>
      <c r="FH174" s="115"/>
      <c r="FI174" s="115"/>
      <c r="FJ174" s="115"/>
      <c r="FK174" s="115"/>
      <c r="FL174" s="115"/>
      <c r="FM174" s="242" t="e">
        <f t="shared" si="134"/>
        <v>#DIV/0!</v>
      </c>
      <c r="FN174" s="242" t="e">
        <f t="shared" si="135"/>
        <v>#DIV/0!</v>
      </c>
      <c r="FO174" s="243" t="e">
        <f t="shared" si="136"/>
        <v>#DIV/0!</v>
      </c>
      <c r="FP174" s="243" t="e">
        <f t="shared" si="137"/>
        <v>#DIV/0!</v>
      </c>
      <c r="FQ174" s="244">
        <f t="shared" si="138"/>
        <v>0</v>
      </c>
    </row>
    <row r="175" spans="1:204" ht="14" x14ac:dyDescent="0.15">
      <c r="B175" s="96" t="s">
        <v>385</v>
      </c>
      <c r="D175" s="202">
        <v>3200</v>
      </c>
      <c r="E175" s="202">
        <v>3056</v>
      </c>
      <c r="F175" s="202">
        <v>2332</v>
      </c>
      <c r="G175" s="1"/>
      <c r="H175" s="13"/>
      <c r="I175" s="225">
        <v>22.1</v>
      </c>
      <c r="J175" s="213">
        <v>0.2</v>
      </c>
      <c r="K175" s="213">
        <v>2.7</v>
      </c>
      <c r="N175">
        <v>41.1</v>
      </c>
      <c r="AF175" s="264"/>
      <c r="AG175" s="264"/>
      <c r="AH175" s="266"/>
      <c r="AI175" s="266"/>
      <c r="AJ175" s="266"/>
      <c r="AK175" s="267"/>
      <c r="AL175" s="265"/>
      <c r="AM175" s="266"/>
      <c r="AN175" s="266"/>
      <c r="AO175" s="266"/>
      <c r="AP175" s="266"/>
      <c r="AQ175" s="266"/>
      <c r="AR175" s="266"/>
      <c r="AS175" s="266"/>
      <c r="AT175" s="266"/>
      <c r="AU175" s="266"/>
      <c r="AV175" s="266"/>
      <c r="AW175" s="265"/>
      <c r="AX175" s="1"/>
      <c r="AY175" s="272"/>
      <c r="AZ175" s="272"/>
      <c r="BA175" s="272"/>
      <c r="BB175" s="274"/>
      <c r="BC175" s="274"/>
      <c r="BD175" s="274"/>
      <c r="BE175" s="275"/>
      <c r="BF175" s="272"/>
      <c r="BG175" s="274"/>
      <c r="BH175" s="274"/>
      <c r="BI175" s="274"/>
      <c r="BJ175" s="274"/>
      <c r="BK175" s="274"/>
      <c r="BL175" s="275"/>
      <c r="BM175" s="275"/>
      <c r="BN175" s="275"/>
      <c r="BO175" s="275"/>
      <c r="BP175" s="275"/>
      <c r="BQ175" s="272"/>
      <c r="BR175" s="1"/>
      <c r="BS175" s="267">
        <v>3.63</v>
      </c>
      <c r="BT175" s="265">
        <v>3.34</v>
      </c>
      <c r="BU175" s="270">
        <v>1.27</v>
      </c>
      <c r="BV175" s="265"/>
      <c r="BW175" s="270">
        <v>1.87</v>
      </c>
      <c r="BX175" s="267">
        <v>1.74</v>
      </c>
      <c r="BY175" s="264"/>
      <c r="CA175" s="279"/>
      <c r="CB175" s="282">
        <v>86</v>
      </c>
      <c r="CC175" s="282">
        <v>86</v>
      </c>
      <c r="CD175" s="279"/>
      <c r="CE175" s="279"/>
      <c r="CF175" s="279"/>
      <c r="CG175" s="279"/>
      <c r="CH175" s="136">
        <f>I175</f>
        <v>22.1</v>
      </c>
      <c r="CI175" s="264"/>
      <c r="CJ175" s="264">
        <v>0.35223021582733816</v>
      </c>
      <c r="CK175" s="264">
        <v>0.72517985611510793</v>
      </c>
      <c r="CL175" s="264">
        <v>1.3053237410071943</v>
      </c>
      <c r="CM175" s="264">
        <v>2.88</v>
      </c>
      <c r="CN175" s="264">
        <v>1.2120863309352519</v>
      </c>
      <c r="CO175" s="264">
        <v>1.3985611510791367</v>
      </c>
      <c r="CP175" s="264">
        <v>0</v>
      </c>
      <c r="CQ175" s="264">
        <v>0</v>
      </c>
      <c r="CR175" s="264">
        <v>1.5228776978417267</v>
      </c>
      <c r="CS175" s="264">
        <v>0.29007194244604317</v>
      </c>
      <c r="CT175" s="264">
        <v>1.1084892086330935</v>
      </c>
      <c r="CV175" s="216"/>
      <c r="CW175" s="4">
        <f t="shared" si="114"/>
        <v>0</v>
      </c>
      <c r="CX175" s="4">
        <v>0.34</v>
      </c>
      <c r="CY175" s="4">
        <v>0.7</v>
      </c>
      <c r="CZ175" s="4">
        <v>1.26</v>
      </c>
      <c r="DA175" s="4">
        <v>2.78</v>
      </c>
      <c r="DB175" s="4">
        <v>1.17</v>
      </c>
      <c r="DC175" s="4">
        <v>1.35</v>
      </c>
      <c r="DD175" s="4">
        <f t="shared" si="125"/>
        <v>0</v>
      </c>
      <c r="DE175" s="4">
        <f t="shared" si="156"/>
        <v>0</v>
      </c>
      <c r="DF175" s="4">
        <v>1.47</v>
      </c>
      <c r="DG175" s="4">
        <v>0.28000000000000003</v>
      </c>
      <c r="DH175" s="216">
        <f t="shared" si="191"/>
        <v>0</v>
      </c>
      <c r="DI175" s="216">
        <f t="shared" si="192"/>
        <v>0</v>
      </c>
      <c r="DJ175" s="216">
        <f t="shared" si="193"/>
        <v>0</v>
      </c>
      <c r="DK175" s="216">
        <f t="shared" si="194"/>
        <v>0</v>
      </c>
      <c r="DL175" s="216">
        <f t="shared" si="195"/>
        <v>0</v>
      </c>
      <c r="DM175" s="216">
        <f t="shared" si="196"/>
        <v>0</v>
      </c>
      <c r="DN175" s="216">
        <f t="shared" si="197"/>
        <v>0</v>
      </c>
      <c r="DO175" s="216">
        <f t="shared" si="198"/>
        <v>0</v>
      </c>
      <c r="DP175" s="216">
        <f t="shared" si="199"/>
        <v>0</v>
      </c>
      <c r="DQ175" s="216">
        <v>1.62</v>
      </c>
      <c r="DR175" s="216">
        <v>1.62</v>
      </c>
      <c r="DS175" s="216">
        <f t="shared" si="140"/>
        <v>0</v>
      </c>
      <c r="DT175" s="216">
        <f t="shared" si="141"/>
        <v>0</v>
      </c>
      <c r="DV175" s="236"/>
      <c r="DW175" s="237">
        <f t="shared" si="157"/>
        <v>1200</v>
      </c>
      <c r="DX175" s="238">
        <v>0.6</v>
      </c>
      <c r="DY175" s="210"/>
      <c r="DZ175" s="210"/>
      <c r="EA175" s="239">
        <v>0.96399999999999997</v>
      </c>
      <c r="EB175" s="240">
        <f t="shared" si="178"/>
        <v>1.67736</v>
      </c>
      <c r="EC175" s="208"/>
      <c r="ED175" s="208">
        <f>N175</f>
        <v>41.1</v>
      </c>
      <c r="EE175" s="208">
        <v>5180</v>
      </c>
      <c r="EF175" s="208"/>
      <c r="EG175" s="386"/>
      <c r="EH175" s="208"/>
      <c r="EI175" s="178"/>
      <c r="EJ175" s="115"/>
      <c r="EK175" s="248">
        <v>1.091496857142857E-2</v>
      </c>
      <c r="EL175" s="115">
        <v>6.2925428571428577E-4</v>
      </c>
      <c r="EM175" s="115">
        <v>1.8896571428571427E-4</v>
      </c>
      <c r="EN175" s="115">
        <v>9.4398993077407159E-5</v>
      </c>
      <c r="EO175" s="115">
        <v>1.699181875393329E-6</v>
      </c>
      <c r="EP175" s="115">
        <v>1.699181875393329E-6</v>
      </c>
      <c r="EQ175" s="115"/>
      <c r="ER175" s="115"/>
      <c r="ES175" s="280">
        <v>10714.285714285712</v>
      </c>
      <c r="ET175" s="280">
        <v>4285.7142857142853</v>
      </c>
      <c r="EU175" s="280">
        <v>114.28571428571428</v>
      </c>
      <c r="EV175" s="280">
        <v>8.5714285714285712</v>
      </c>
      <c r="EW175" s="280">
        <v>8.5714285714285715E-2</v>
      </c>
      <c r="EX175" s="280">
        <v>128.57142857142856</v>
      </c>
      <c r="EY175" s="280">
        <v>71.428571428571416</v>
      </c>
      <c r="EZ175" s="280">
        <v>21.428571428571427</v>
      </c>
      <c r="FA175" s="280"/>
      <c r="FB175" s="280"/>
      <c r="FC175" s="280"/>
      <c r="FD175" s="280"/>
      <c r="FE175" s="115"/>
      <c r="FF175" s="115"/>
      <c r="FG175" s="115"/>
      <c r="FH175" s="115"/>
      <c r="FI175" s="115"/>
      <c r="FJ175" s="115"/>
      <c r="FK175" s="115"/>
      <c r="FL175" s="115"/>
      <c r="FM175" s="242">
        <f t="shared" si="134"/>
        <v>0</v>
      </c>
      <c r="FN175" s="242">
        <f t="shared" si="135"/>
        <v>0.55555555555555547</v>
      </c>
      <c r="FO175" s="243">
        <f t="shared" si="136"/>
        <v>0</v>
      </c>
      <c r="FP175" s="243">
        <f t="shared" si="137"/>
        <v>0.22222222222222224</v>
      </c>
      <c r="FQ175" s="244">
        <f t="shared" si="138"/>
        <v>5.7013574660633483E-2</v>
      </c>
    </row>
    <row r="176" spans="1:204" ht="14" x14ac:dyDescent="0.15">
      <c r="B176" s="151" t="s">
        <v>367</v>
      </c>
      <c r="D176" s="202">
        <f>D88*0.99</f>
        <v>1989.9</v>
      </c>
      <c r="E176" s="202">
        <f>E88*0.99</f>
        <v>1782.99</v>
      </c>
      <c r="F176" s="202">
        <f>F88*0.99</f>
        <v>927.63</v>
      </c>
      <c r="G176" s="1"/>
      <c r="H176" s="13"/>
      <c r="I176" s="225">
        <v>46</v>
      </c>
      <c r="J176" s="213">
        <v>4</v>
      </c>
      <c r="K176" s="213">
        <v>1</v>
      </c>
      <c r="AF176" s="264">
        <v>3.19</v>
      </c>
      <c r="AG176" s="264">
        <v>1.24</v>
      </c>
      <c r="AH176" s="266">
        <v>2.42</v>
      </c>
      <c r="AI176" s="266">
        <v>3.8</v>
      </c>
      <c r="AJ176" s="266">
        <v>3</v>
      </c>
      <c r="AK176" s="267">
        <v>0.66</v>
      </c>
      <c r="AL176" s="268">
        <v>2.5</v>
      </c>
      <c r="AM176" s="266">
        <v>1.79</v>
      </c>
      <c r="AN176" s="266">
        <v>0.74</v>
      </c>
      <c r="AO176" s="266">
        <v>2.52</v>
      </c>
      <c r="AP176" s="266"/>
      <c r="AQ176" s="266"/>
      <c r="AR176" s="266">
        <v>0.66</v>
      </c>
      <c r="AS176" s="266"/>
      <c r="AT176" s="266"/>
      <c r="AU176" s="266"/>
      <c r="AV176" s="266"/>
      <c r="AW176" s="265"/>
      <c r="AX176" s="216"/>
      <c r="AY176" s="272"/>
      <c r="AZ176" s="278">
        <f>1.02*AZ79</f>
        <v>95.88</v>
      </c>
      <c r="BA176" s="278">
        <f>1.02*BA79</f>
        <v>91.8</v>
      </c>
      <c r="BB176" s="278">
        <f>1.02*BB79</f>
        <v>90.78</v>
      </c>
      <c r="BC176" s="278">
        <f>1.02*BC79</f>
        <v>89.76</v>
      </c>
      <c r="BD176" s="278">
        <f>0.987*BD79</f>
        <v>87.843000000000004</v>
      </c>
      <c r="BE176" s="278">
        <f>1.02*BE79</f>
        <v>91.8</v>
      </c>
      <c r="BF176" s="278">
        <f>1.02*BF79</f>
        <v>89.76</v>
      </c>
      <c r="BG176" s="278">
        <f>1.02*BG79</f>
        <v>86.7</v>
      </c>
      <c r="BH176" s="278">
        <f>1.02*BH79</f>
        <v>92.820000000000007</v>
      </c>
      <c r="BI176" s="278">
        <f>1.02*BI79</f>
        <v>88.74</v>
      </c>
      <c r="BJ176" s="278"/>
      <c r="BK176" s="278"/>
      <c r="BL176" s="278">
        <f>1.02*BL79</f>
        <v>85.68</v>
      </c>
      <c r="BM176" s="278"/>
      <c r="BN176" s="278"/>
      <c r="BO176" s="278"/>
      <c r="BP176" s="278"/>
      <c r="BQ176" s="278">
        <f>1*BQ79</f>
        <v>88</v>
      </c>
      <c r="BR176" s="1"/>
      <c r="BS176" s="267">
        <v>0.41</v>
      </c>
      <c r="BT176" s="265"/>
      <c r="BU176" s="270"/>
      <c r="BV176" s="265"/>
      <c r="BW176" s="270"/>
      <c r="BX176" s="267">
        <v>0.69</v>
      </c>
      <c r="BY176" s="264"/>
      <c r="CA176" s="279"/>
      <c r="CB176" s="282">
        <f>CB79</f>
        <v>39</v>
      </c>
      <c r="CC176" s="282">
        <f>CC79</f>
        <v>48</v>
      </c>
      <c r="CD176" s="279"/>
      <c r="CE176" s="279"/>
      <c r="CF176" s="279"/>
      <c r="CG176" s="279"/>
      <c r="CH176" s="136">
        <f>I176</f>
        <v>46</v>
      </c>
      <c r="CI176" s="264"/>
      <c r="CJ176" s="264"/>
      <c r="CK176" s="264"/>
      <c r="CL176" s="264"/>
      <c r="CM176" s="264"/>
      <c r="CN176" s="264"/>
      <c r="CO176" s="264"/>
      <c r="CP176" s="264"/>
      <c r="CQ176" s="264"/>
      <c r="CR176" s="264"/>
      <c r="CS176" s="264"/>
      <c r="CT176" s="264"/>
      <c r="CV176" s="216"/>
      <c r="CW176" s="4">
        <f t="shared" si="114"/>
        <v>3.0585719999999998</v>
      </c>
      <c r="CX176" s="4">
        <f t="shared" si="200"/>
        <v>1.13832</v>
      </c>
      <c r="CY176" s="4">
        <f>AH176*BB176/100</f>
        <v>2.1968760000000001</v>
      </c>
      <c r="CZ176" s="4">
        <f>AI176*BC176/100</f>
        <v>3.4108800000000001</v>
      </c>
      <c r="DA176" s="4">
        <f>AJ176*BD176/100</f>
        <v>2.6352899999999999</v>
      </c>
      <c r="DB176" s="4">
        <f>AK176*BE176/100</f>
        <v>0.60587999999999997</v>
      </c>
      <c r="DC176" s="4">
        <f t="shared" ref="DC176" si="201">(AK176*BE176+BL176*AR176)/100</f>
        <v>1.1713680000000002</v>
      </c>
      <c r="DD176" s="4">
        <f t="shared" si="125"/>
        <v>2.2440000000000002</v>
      </c>
      <c r="DE176" s="4">
        <f t="shared" si="156"/>
        <v>2.2440000000000002</v>
      </c>
      <c r="DF176" s="4">
        <f>AM176*BG176/100</f>
        <v>1.55193</v>
      </c>
      <c r="DG176" s="4">
        <f>AN176*BH176/100</f>
        <v>0.68686800000000003</v>
      </c>
      <c r="DH176" s="216">
        <f t="shared" si="191"/>
        <v>2.2362479999999998</v>
      </c>
      <c r="DI176" s="216">
        <f t="shared" si="192"/>
        <v>0</v>
      </c>
      <c r="DJ176" s="216">
        <f t="shared" si="193"/>
        <v>0</v>
      </c>
      <c r="DK176" s="216">
        <f t="shared" si="194"/>
        <v>0.5654880000000001</v>
      </c>
      <c r="DL176" s="216">
        <f t="shared" si="195"/>
        <v>0</v>
      </c>
      <c r="DM176" s="216">
        <f t="shared" si="196"/>
        <v>0</v>
      </c>
      <c r="DN176" s="216">
        <f t="shared" si="197"/>
        <v>0</v>
      </c>
      <c r="DO176" s="216">
        <f t="shared" si="198"/>
        <v>0</v>
      </c>
      <c r="DP176" s="216">
        <f t="shared" si="199"/>
        <v>0</v>
      </c>
      <c r="DQ176" s="216">
        <f t="shared" ref="DQ176" si="202">CB176*BX176/100</f>
        <v>0.26909999999999995</v>
      </c>
      <c r="DR176" s="216">
        <f t="shared" ref="DR176" si="203">CC176*BX176/100</f>
        <v>0.33119999999999999</v>
      </c>
      <c r="DS176" s="216"/>
      <c r="DT176" s="216">
        <f t="shared" ref="DT176" si="204">BS176*CE176/100</f>
        <v>0</v>
      </c>
      <c r="DV176" s="236"/>
      <c r="DW176" s="237">
        <f>DX176*2000</f>
        <v>511</v>
      </c>
      <c r="DX176" s="238">
        <v>0.2555</v>
      </c>
      <c r="DY176" s="210"/>
      <c r="DZ176" s="210"/>
      <c r="EA176" s="254">
        <f>EA79</f>
        <v>0.23</v>
      </c>
      <c r="EB176" s="240">
        <f>BZ176*EA176</f>
        <v>0</v>
      </c>
      <c r="EC176" s="239"/>
      <c r="ED176" s="208"/>
      <c r="EE176" s="208"/>
      <c r="EF176" s="208"/>
      <c r="EG176" s="386"/>
      <c r="EH176" s="208"/>
      <c r="EI176" s="178"/>
      <c r="EJ176" s="115"/>
      <c r="EK176" s="115"/>
      <c r="EL176" s="115"/>
      <c r="EM176" s="115"/>
      <c r="EN176" s="115"/>
      <c r="EO176" s="115"/>
      <c r="EP176" s="115"/>
      <c r="EQ176" s="115"/>
      <c r="ER176" s="115"/>
      <c r="ES176" s="280"/>
      <c r="ET176" s="280"/>
      <c r="EU176" s="280"/>
      <c r="EV176" s="280"/>
      <c r="EW176" s="280"/>
      <c r="EX176" s="280"/>
      <c r="EY176" s="280"/>
      <c r="EZ176" s="280"/>
      <c r="FA176" s="280"/>
      <c r="FB176" s="280"/>
      <c r="FC176" s="280"/>
      <c r="FD176" s="280"/>
      <c r="FE176" s="115"/>
      <c r="FF176" s="115"/>
      <c r="FG176" s="115"/>
      <c r="FH176" s="115"/>
      <c r="FI176" s="115"/>
      <c r="FJ176" s="115"/>
      <c r="FK176" s="115"/>
      <c r="FL176" s="115"/>
      <c r="FM176" s="242">
        <f t="shared" si="134"/>
        <v>0.65562200956937788</v>
      </c>
      <c r="FN176" s="242">
        <f t="shared" si="135"/>
        <v>0.64407894736842108</v>
      </c>
      <c r="FO176" s="243">
        <f t="shared" si="136"/>
        <v>1.01792181261027</v>
      </c>
      <c r="FP176" s="243">
        <f t="shared" si="137"/>
        <v>0.2013755980861244</v>
      </c>
      <c r="FQ176" s="244">
        <f t="shared" si="138"/>
        <v>7.4149565217391314E-2</v>
      </c>
    </row>
    <row r="177" spans="2:173" ht="14" x14ac:dyDescent="0.15">
      <c r="B177" s="96" t="s">
        <v>415</v>
      </c>
      <c r="D177" s="206">
        <f>D79</f>
        <v>3619</v>
      </c>
      <c r="E177" s="206">
        <f t="shared" ref="E177:BP177" si="205">E79</f>
        <v>3294</v>
      </c>
      <c r="F177" s="206">
        <f>F24*0.88</f>
        <v>2351.36</v>
      </c>
      <c r="G177" s="206">
        <f t="shared" si="205"/>
        <v>0.78106287425149701</v>
      </c>
      <c r="H177" s="262">
        <f t="shared" si="205"/>
        <v>89.98</v>
      </c>
      <c r="I177" s="262">
        <f t="shared" si="205"/>
        <v>47.73</v>
      </c>
      <c r="J177" s="262">
        <f t="shared" si="205"/>
        <v>3.89</v>
      </c>
      <c r="K177" s="262">
        <f t="shared" si="205"/>
        <v>1.52</v>
      </c>
      <c r="L177" s="206">
        <f t="shared" si="205"/>
        <v>2.86</v>
      </c>
      <c r="M177" s="206">
        <f t="shared" si="205"/>
        <v>6.27</v>
      </c>
      <c r="N177" s="206">
        <f t="shared" si="205"/>
        <v>0</v>
      </c>
      <c r="O177" s="206">
        <f t="shared" si="205"/>
        <v>4.3</v>
      </c>
      <c r="P177" s="206">
        <f t="shared" si="205"/>
        <v>3.78</v>
      </c>
      <c r="Q177" s="206">
        <f t="shared" si="205"/>
        <v>7.33</v>
      </c>
      <c r="R177" s="206">
        <f t="shared" si="205"/>
        <v>0</v>
      </c>
      <c r="S177" s="206">
        <f t="shared" si="205"/>
        <v>3.81</v>
      </c>
      <c r="T177" s="206">
        <f t="shared" si="205"/>
        <v>1.89</v>
      </c>
      <c r="U177" s="206">
        <f t="shared" si="205"/>
        <v>8.2100000000000009</v>
      </c>
      <c r="V177" s="206">
        <f t="shared" si="205"/>
        <v>5.28</v>
      </c>
      <c r="W177" s="206">
        <f t="shared" si="205"/>
        <v>1.1000000000000001</v>
      </c>
      <c r="X177" s="206">
        <f t="shared" si="205"/>
        <v>16.71</v>
      </c>
      <c r="Y177" s="206">
        <f t="shared" si="205"/>
        <v>0</v>
      </c>
      <c r="Z177" s="206">
        <f t="shared" si="205"/>
        <v>0</v>
      </c>
      <c r="AA177" s="206">
        <f t="shared" si="205"/>
        <v>0</v>
      </c>
      <c r="AB177" s="206">
        <f t="shared" si="205"/>
        <v>28.270000000000007</v>
      </c>
      <c r="AC177" s="206">
        <f t="shared" si="205"/>
        <v>88</v>
      </c>
      <c r="AD177" s="206">
        <f t="shared" si="205"/>
        <v>41.477900000000005</v>
      </c>
      <c r="AE177" s="206">
        <f t="shared" si="205"/>
        <v>0</v>
      </c>
      <c r="AF177" s="269">
        <f t="shared" si="205"/>
        <v>3.45</v>
      </c>
      <c r="AG177" s="269">
        <f t="shared" si="205"/>
        <v>1.28</v>
      </c>
      <c r="AH177" s="269">
        <f t="shared" si="205"/>
        <v>2.14</v>
      </c>
      <c r="AI177" s="269">
        <f t="shared" si="205"/>
        <v>3.62</v>
      </c>
      <c r="AJ177" s="269">
        <f t="shared" si="205"/>
        <v>2.96</v>
      </c>
      <c r="AK177" s="269">
        <f t="shared" si="205"/>
        <v>0.66</v>
      </c>
      <c r="AL177" s="269">
        <f t="shared" si="205"/>
        <v>2.4</v>
      </c>
      <c r="AM177" s="269">
        <f t="shared" si="205"/>
        <v>1.86</v>
      </c>
      <c r="AN177" s="269">
        <f t="shared" si="205"/>
        <v>0.66</v>
      </c>
      <c r="AO177" s="269">
        <f t="shared" si="205"/>
        <v>2.23</v>
      </c>
      <c r="AP177" s="269">
        <f t="shared" si="205"/>
        <v>2.06</v>
      </c>
      <c r="AQ177" s="269">
        <f t="shared" si="205"/>
        <v>5.41</v>
      </c>
      <c r="AR177" s="269">
        <f t="shared" si="205"/>
        <v>0.7</v>
      </c>
      <c r="AS177" s="269">
        <f t="shared" si="205"/>
        <v>8.5399999999999991</v>
      </c>
      <c r="AT177" s="269">
        <f t="shared" si="205"/>
        <v>1.99</v>
      </c>
      <c r="AU177" s="269">
        <f t="shared" si="205"/>
        <v>2.5299999999999998</v>
      </c>
      <c r="AV177" s="269">
        <f t="shared" si="205"/>
        <v>2.36</v>
      </c>
      <c r="AW177" s="269">
        <f t="shared" si="205"/>
        <v>1.59</v>
      </c>
      <c r="AX177" s="206">
        <f t="shared" si="205"/>
        <v>0</v>
      </c>
      <c r="AY177" s="271">
        <f t="shared" si="205"/>
        <v>87</v>
      </c>
      <c r="AZ177" s="271">
        <f t="shared" si="205"/>
        <v>94</v>
      </c>
      <c r="BA177" s="271">
        <f t="shared" si="205"/>
        <v>90</v>
      </c>
      <c r="BB177" s="271">
        <f t="shared" si="205"/>
        <v>89</v>
      </c>
      <c r="BC177" s="271">
        <f t="shared" si="205"/>
        <v>88</v>
      </c>
      <c r="BD177" s="271">
        <f t="shared" si="205"/>
        <v>89</v>
      </c>
      <c r="BE177" s="271">
        <f t="shared" si="205"/>
        <v>90</v>
      </c>
      <c r="BF177" s="271">
        <f t="shared" si="205"/>
        <v>88</v>
      </c>
      <c r="BG177" s="271">
        <f t="shared" si="205"/>
        <v>85</v>
      </c>
      <c r="BH177" s="271">
        <f t="shared" si="205"/>
        <v>91</v>
      </c>
      <c r="BI177" s="271">
        <f t="shared" si="205"/>
        <v>87</v>
      </c>
      <c r="BJ177" s="271">
        <f t="shared" si="205"/>
        <v>85</v>
      </c>
      <c r="BK177" s="271">
        <f t="shared" si="205"/>
        <v>87</v>
      </c>
      <c r="BL177" s="271">
        <f t="shared" si="205"/>
        <v>84</v>
      </c>
      <c r="BM177" s="271">
        <f t="shared" si="205"/>
        <v>89</v>
      </c>
      <c r="BN177" s="271">
        <f t="shared" si="205"/>
        <v>84</v>
      </c>
      <c r="BO177" s="271">
        <f t="shared" si="205"/>
        <v>113</v>
      </c>
      <c r="BP177" s="271">
        <f t="shared" si="205"/>
        <v>89</v>
      </c>
      <c r="BQ177" s="271">
        <f t="shared" ref="BQ177:DZ177" si="206">BQ79</f>
        <v>88</v>
      </c>
      <c r="BR177" s="206">
        <f t="shared" si="206"/>
        <v>0</v>
      </c>
      <c r="BS177" s="269">
        <f t="shared" si="206"/>
        <v>0.33</v>
      </c>
      <c r="BT177" s="269">
        <f t="shared" si="206"/>
        <v>4.9000000000000002E-2</v>
      </c>
      <c r="BU177" s="269">
        <f t="shared" si="206"/>
        <v>2.2400000000000002</v>
      </c>
      <c r="BV177" s="269">
        <f t="shared" si="206"/>
        <v>0.27</v>
      </c>
      <c r="BW177" s="269">
        <f t="shared" si="206"/>
        <v>0.08</v>
      </c>
      <c r="BX177" s="269">
        <f t="shared" si="206"/>
        <v>0.71</v>
      </c>
      <c r="BY177" s="269">
        <f t="shared" si="206"/>
        <v>0.4</v>
      </c>
      <c r="BZ177" s="206">
        <f t="shared" si="206"/>
        <v>0</v>
      </c>
      <c r="CA177" s="281">
        <f t="shared" si="206"/>
        <v>0.38</v>
      </c>
      <c r="CB177" s="283">
        <f t="shared" si="206"/>
        <v>39</v>
      </c>
      <c r="CC177" s="283">
        <f t="shared" si="206"/>
        <v>48</v>
      </c>
      <c r="CD177" s="283">
        <f t="shared" si="206"/>
        <v>78</v>
      </c>
      <c r="CE177" s="283">
        <f t="shared" si="206"/>
        <v>85</v>
      </c>
      <c r="CF177" s="283">
        <f t="shared" si="206"/>
        <v>24.877600000000008</v>
      </c>
      <c r="CG177" s="281">
        <f t="shared" si="206"/>
        <v>0</v>
      </c>
      <c r="CH177" s="262">
        <f t="shared" si="206"/>
        <v>39.138599999999997</v>
      </c>
      <c r="CI177" s="269">
        <f t="shared" si="206"/>
        <v>3.1740000000000004</v>
      </c>
      <c r="CJ177" s="269">
        <f t="shared" si="206"/>
        <v>1.1135999999999999</v>
      </c>
      <c r="CK177" s="269">
        <f t="shared" si="206"/>
        <v>1.8618000000000001</v>
      </c>
      <c r="CL177" s="269">
        <f t="shared" si="206"/>
        <v>3.1132</v>
      </c>
      <c r="CM177" s="269">
        <f t="shared" si="206"/>
        <v>2.5751999999999997</v>
      </c>
      <c r="CN177" s="269">
        <f t="shared" si="206"/>
        <v>0.58080000000000009</v>
      </c>
      <c r="CO177" s="269">
        <f t="shared" si="206"/>
        <v>1.1337999999999999</v>
      </c>
      <c r="CP177" s="269">
        <f t="shared" si="206"/>
        <v>2.0640000000000001</v>
      </c>
      <c r="CQ177" s="269">
        <f t="shared" si="206"/>
        <v>3.3996000000000004</v>
      </c>
      <c r="CR177" s="269">
        <f t="shared" si="206"/>
        <v>1.4880000000000002</v>
      </c>
      <c r="CS177" s="269">
        <f t="shared" si="206"/>
        <v>0.58080000000000009</v>
      </c>
      <c r="CT177" s="269">
        <f t="shared" si="206"/>
        <v>1.8509</v>
      </c>
      <c r="CU177" s="206">
        <f t="shared" si="206"/>
        <v>0</v>
      </c>
      <c r="CV177" s="263">
        <f t="shared" si="206"/>
        <v>41.525099999999995</v>
      </c>
      <c r="CW177" s="263">
        <f t="shared" si="206"/>
        <v>3.2430000000000003</v>
      </c>
      <c r="CX177" s="263">
        <f t="shared" si="206"/>
        <v>1.1520000000000001</v>
      </c>
      <c r="CY177" s="263">
        <f t="shared" si="206"/>
        <v>1.9046000000000001</v>
      </c>
      <c r="CZ177" s="263">
        <f t="shared" si="206"/>
        <v>3.1856</v>
      </c>
      <c r="DA177" s="263">
        <f t="shared" si="206"/>
        <v>2.6343999999999999</v>
      </c>
      <c r="DB177" s="263">
        <f t="shared" si="206"/>
        <v>0.59400000000000008</v>
      </c>
      <c r="DC177" s="263">
        <f t="shared" si="206"/>
        <v>1.1819999999999999</v>
      </c>
      <c r="DD177" s="263">
        <f t="shared" si="206"/>
        <v>2.1120000000000001</v>
      </c>
      <c r="DE177" s="263">
        <f t="shared" si="206"/>
        <v>3.5112000000000005</v>
      </c>
      <c r="DF177" s="263">
        <f t="shared" si="206"/>
        <v>1.581</v>
      </c>
      <c r="DG177" s="263">
        <f t="shared" si="206"/>
        <v>0.60060000000000002</v>
      </c>
      <c r="DH177" s="216">
        <f t="shared" si="191"/>
        <v>1.9400999999999999</v>
      </c>
      <c r="DI177" s="216">
        <f t="shared" si="192"/>
        <v>1.7509999999999999</v>
      </c>
      <c r="DJ177" s="216">
        <f t="shared" si="193"/>
        <v>4.7067000000000005</v>
      </c>
      <c r="DK177" s="216">
        <f t="shared" si="194"/>
        <v>0.58799999999999997</v>
      </c>
      <c r="DL177" s="216">
        <f t="shared" si="195"/>
        <v>7.6005999999999991</v>
      </c>
      <c r="DM177" s="216">
        <f t="shared" si="196"/>
        <v>1.6716</v>
      </c>
      <c r="DN177" s="216">
        <f t="shared" si="197"/>
        <v>2.8588999999999998</v>
      </c>
      <c r="DO177" s="216">
        <f t="shared" si="198"/>
        <v>2.1004</v>
      </c>
      <c r="DP177" s="216">
        <f t="shared" si="199"/>
        <v>1.3992000000000002</v>
      </c>
      <c r="DQ177" s="263">
        <f t="shared" si="206"/>
        <v>0.27689999999999998</v>
      </c>
      <c r="DR177" s="263">
        <f t="shared" si="206"/>
        <v>0.34079999999999999</v>
      </c>
      <c r="DS177" s="263">
        <f t="shared" si="206"/>
        <v>0.25740000000000002</v>
      </c>
      <c r="DT177" s="263">
        <f t="shared" si="206"/>
        <v>0.28050000000000003</v>
      </c>
      <c r="DU177" s="206">
        <f t="shared" si="206"/>
        <v>0</v>
      </c>
      <c r="DV177" s="206">
        <f t="shared" si="206"/>
        <v>46.5</v>
      </c>
      <c r="DW177" s="237">
        <f t="shared" si="206"/>
        <v>400</v>
      </c>
      <c r="DX177" s="238">
        <f t="shared" si="206"/>
        <v>0.2</v>
      </c>
      <c r="DY177" s="206">
        <f t="shared" si="206"/>
        <v>2000</v>
      </c>
      <c r="DZ177" s="206">
        <f t="shared" si="206"/>
        <v>2120</v>
      </c>
      <c r="EA177" s="206">
        <f>EA79</f>
        <v>0.23</v>
      </c>
      <c r="EB177" s="240">
        <f>BZ177*EA177</f>
        <v>0</v>
      </c>
      <c r="EC177" s="206">
        <f t="shared" ref="EC177:FL177" si="207">EC79</f>
        <v>0.6</v>
      </c>
      <c r="ED177" s="206">
        <f t="shared" si="207"/>
        <v>0</v>
      </c>
      <c r="EE177" s="206">
        <f t="shared" si="207"/>
        <v>0</v>
      </c>
      <c r="EF177" s="206" t="e">
        <f>#REF!</f>
        <v>#REF!</v>
      </c>
      <c r="EG177" s="263">
        <v>0.44</v>
      </c>
      <c r="EH177" s="206">
        <f t="shared" si="207"/>
        <v>19</v>
      </c>
      <c r="EI177" s="206">
        <f t="shared" si="207"/>
        <v>58.8</v>
      </c>
      <c r="EJ177" s="206">
        <f t="shared" si="207"/>
        <v>0</v>
      </c>
      <c r="EK177" s="206">
        <f t="shared" si="207"/>
        <v>0</v>
      </c>
      <c r="EL177" s="206">
        <f t="shared" si="207"/>
        <v>0</v>
      </c>
      <c r="EM177" s="206">
        <f t="shared" si="207"/>
        <v>0</v>
      </c>
      <c r="EN177" s="206">
        <f t="shared" si="207"/>
        <v>0</v>
      </c>
      <c r="EO177" s="206">
        <f t="shared" si="207"/>
        <v>0</v>
      </c>
      <c r="EP177" s="206">
        <f t="shared" si="207"/>
        <v>0</v>
      </c>
      <c r="EQ177" s="206">
        <f t="shared" si="207"/>
        <v>0</v>
      </c>
      <c r="ER177" s="206">
        <f t="shared" si="207"/>
        <v>0</v>
      </c>
      <c r="ES177" s="281">
        <f t="shared" si="207"/>
        <v>0</v>
      </c>
      <c r="ET177" s="281">
        <f t="shared" si="207"/>
        <v>0</v>
      </c>
      <c r="EU177" s="281">
        <f t="shared" si="207"/>
        <v>0</v>
      </c>
      <c r="EV177" s="281">
        <f t="shared" si="207"/>
        <v>0</v>
      </c>
      <c r="EW177" s="281">
        <f t="shared" si="207"/>
        <v>0</v>
      </c>
      <c r="EX177" s="281">
        <f t="shared" si="207"/>
        <v>0</v>
      </c>
      <c r="EY177" s="281">
        <f t="shared" si="207"/>
        <v>0</v>
      </c>
      <c r="EZ177" s="281">
        <f t="shared" si="207"/>
        <v>0</v>
      </c>
      <c r="FA177" s="281">
        <f t="shared" si="207"/>
        <v>0</v>
      </c>
      <c r="FB177" s="281">
        <f t="shared" si="207"/>
        <v>0</v>
      </c>
      <c r="FC177" s="281">
        <f t="shared" si="207"/>
        <v>0</v>
      </c>
      <c r="FD177" s="281">
        <f t="shared" si="207"/>
        <v>0</v>
      </c>
      <c r="FE177" s="206">
        <f t="shared" si="207"/>
        <v>0</v>
      </c>
      <c r="FF177" s="206">
        <f t="shared" si="207"/>
        <v>0</v>
      </c>
      <c r="FG177" s="206">
        <f t="shared" si="207"/>
        <v>0</v>
      </c>
      <c r="FH177" s="206">
        <f t="shared" si="207"/>
        <v>0</v>
      </c>
      <c r="FI177" s="206">
        <f t="shared" si="207"/>
        <v>55.05</v>
      </c>
      <c r="FJ177" s="206">
        <f t="shared" si="207"/>
        <v>7.34</v>
      </c>
      <c r="FK177" s="206">
        <f t="shared" si="207"/>
        <v>0.94832800000000006</v>
      </c>
      <c r="FL177" s="206">
        <f t="shared" si="207"/>
        <v>0</v>
      </c>
      <c r="FM177" s="242">
        <f t="shared" si="134"/>
        <v>0.60902184831742845</v>
      </c>
      <c r="FN177" s="242">
        <f t="shared" si="135"/>
        <v>0.59787795077850325</v>
      </c>
      <c r="FO177" s="243">
        <f t="shared" si="136"/>
        <v>1.0186390843221673</v>
      </c>
      <c r="FP177" s="243">
        <f t="shared" si="137"/>
        <v>0.18853591160220995</v>
      </c>
      <c r="FQ177" s="244">
        <f t="shared" si="138"/>
        <v>6.6742090928137446E-2</v>
      </c>
    </row>
    <row r="178" spans="2:173" ht="14" x14ac:dyDescent="0.15">
      <c r="B178" s="96" t="s">
        <v>427</v>
      </c>
      <c r="C178" s="157"/>
      <c r="D178" s="294"/>
      <c r="E178" s="294"/>
      <c r="F178" s="294"/>
      <c r="G178" s="295"/>
      <c r="H178" s="296"/>
      <c r="I178" s="297"/>
      <c r="J178" s="298"/>
      <c r="K178" s="298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57"/>
      <c r="Z178" s="157"/>
      <c r="AA178" s="157"/>
      <c r="AB178" s="157"/>
      <c r="AC178" s="157"/>
      <c r="AD178" s="157"/>
      <c r="AE178" s="157"/>
      <c r="AF178" s="157"/>
      <c r="AG178" s="157"/>
      <c r="AH178" s="299"/>
      <c r="AI178" s="299"/>
      <c r="AJ178" s="299"/>
      <c r="AK178" s="299"/>
      <c r="AL178" s="295"/>
      <c r="AM178" s="299"/>
      <c r="AN178" s="299"/>
      <c r="AO178" s="299"/>
      <c r="AP178" s="299"/>
      <c r="AQ178" s="299"/>
      <c r="AR178" s="299"/>
      <c r="AS178" s="299"/>
      <c r="AT178" s="299"/>
      <c r="AU178" s="299"/>
      <c r="AV178" s="299"/>
      <c r="AW178" s="295"/>
      <c r="AX178" s="295"/>
      <c r="AY178" s="300"/>
      <c r="AZ178" s="300"/>
      <c r="BA178" s="300"/>
      <c r="BB178" s="300"/>
      <c r="BC178" s="300"/>
      <c r="BD178" s="300"/>
      <c r="BE178" s="301"/>
      <c r="BF178" s="300"/>
      <c r="BG178" s="300"/>
      <c r="BH178" s="300"/>
      <c r="BI178" s="300"/>
      <c r="BJ178" s="300"/>
      <c r="BK178" s="300"/>
      <c r="BL178" s="301"/>
      <c r="BM178" s="301"/>
      <c r="BN178" s="301"/>
      <c r="BO178" s="301"/>
      <c r="BP178" s="301"/>
      <c r="BQ178" s="300"/>
      <c r="BR178" s="295"/>
      <c r="BS178" s="302"/>
      <c r="BT178" s="303"/>
      <c r="BU178" s="303"/>
      <c r="BV178" s="303"/>
      <c r="BW178" s="303"/>
      <c r="BX178" s="302"/>
      <c r="BY178" s="304"/>
      <c r="BZ178" s="157"/>
      <c r="CA178" s="305"/>
      <c r="CB178" s="306"/>
      <c r="CC178" s="306"/>
      <c r="CD178" s="305"/>
      <c r="CE178" s="305"/>
      <c r="CF178" s="305"/>
      <c r="CG178" s="305"/>
      <c r="CH178" s="307"/>
      <c r="CI178" s="304"/>
      <c r="CJ178" s="304"/>
      <c r="CK178" s="304"/>
      <c r="CL178" s="304"/>
      <c r="CM178" s="304"/>
      <c r="CN178" s="304"/>
      <c r="CO178" s="304"/>
      <c r="CP178" s="304"/>
      <c r="CQ178" s="304"/>
      <c r="CR178" s="304"/>
      <c r="CS178" s="304"/>
      <c r="CT178" s="304"/>
      <c r="CU178" s="157"/>
      <c r="CV178" s="308"/>
      <c r="CW178" s="309">
        <f t="shared" si="114"/>
        <v>0</v>
      </c>
      <c r="CX178" s="309">
        <f t="shared" si="200"/>
        <v>0</v>
      </c>
      <c r="CY178" s="309">
        <f t="shared" si="116"/>
        <v>0</v>
      </c>
      <c r="CZ178" s="309">
        <f t="shared" si="117"/>
        <v>0</v>
      </c>
      <c r="DA178" s="309">
        <f t="shared" si="118"/>
        <v>0</v>
      </c>
      <c r="DB178" s="309">
        <f t="shared" si="119"/>
        <v>0</v>
      </c>
      <c r="DC178" s="309">
        <f t="shared" si="139"/>
        <v>0</v>
      </c>
      <c r="DD178" s="309">
        <f t="shared" si="125"/>
        <v>0</v>
      </c>
      <c r="DE178" s="309">
        <f t="shared" si="156"/>
        <v>0</v>
      </c>
      <c r="DF178" s="309">
        <f t="shared" si="126"/>
        <v>0</v>
      </c>
      <c r="DG178" s="309">
        <f t="shared" si="127"/>
        <v>0</v>
      </c>
      <c r="DH178" s="308">
        <f t="shared" si="191"/>
        <v>0</v>
      </c>
      <c r="DI178" s="308">
        <f t="shared" si="192"/>
        <v>0</v>
      </c>
      <c r="DJ178" s="308">
        <f t="shared" si="193"/>
        <v>0</v>
      </c>
      <c r="DK178" s="308">
        <f t="shared" si="194"/>
        <v>0</v>
      </c>
      <c r="DL178" s="308">
        <f t="shared" si="195"/>
        <v>0</v>
      </c>
      <c r="DM178" s="308">
        <f t="shared" si="196"/>
        <v>0</v>
      </c>
      <c r="DN178" s="308">
        <f t="shared" si="197"/>
        <v>0</v>
      </c>
      <c r="DO178" s="308">
        <f t="shared" si="198"/>
        <v>0</v>
      </c>
      <c r="DP178" s="308">
        <f t="shared" si="199"/>
        <v>0</v>
      </c>
      <c r="DQ178" s="308">
        <v>0.4</v>
      </c>
      <c r="DR178" s="308">
        <v>0.4</v>
      </c>
      <c r="DS178" s="308">
        <f t="shared" si="140"/>
        <v>0</v>
      </c>
      <c r="DT178" s="308">
        <f t="shared" si="141"/>
        <v>0</v>
      </c>
      <c r="DU178" s="295"/>
      <c r="DV178" s="310"/>
      <c r="DW178" s="311">
        <v>1312</v>
      </c>
      <c r="DX178" s="312">
        <v>0.65600000000000003</v>
      </c>
      <c r="DY178" s="294"/>
      <c r="DZ178" s="294"/>
      <c r="EA178" s="313">
        <v>0.4</v>
      </c>
      <c r="EB178" s="314">
        <f>BZ178*EA178</f>
        <v>0</v>
      </c>
      <c r="EC178" s="315"/>
      <c r="ED178" s="315"/>
      <c r="EE178" s="315"/>
      <c r="EF178" s="315"/>
      <c r="EG178" s="387"/>
      <c r="EH178" s="315"/>
      <c r="EI178" s="317">
        <v>0.77</v>
      </c>
      <c r="EJ178" s="315"/>
      <c r="EK178" s="315"/>
      <c r="EL178" s="315"/>
      <c r="EM178" s="315"/>
      <c r="EN178" s="315"/>
      <c r="EO178" s="315"/>
      <c r="EP178" s="315"/>
      <c r="EQ178" s="315"/>
      <c r="ER178" s="315"/>
      <c r="ES178" s="318"/>
      <c r="ET178" s="318"/>
      <c r="EU178" s="318"/>
      <c r="EV178" s="318"/>
      <c r="EW178" s="318"/>
      <c r="EX178" s="318"/>
      <c r="EY178" s="318"/>
      <c r="EZ178" s="318"/>
      <c r="FA178" s="318"/>
      <c r="FB178" s="318"/>
      <c r="FC178" s="318"/>
      <c r="FD178" s="318"/>
      <c r="FE178" s="315"/>
      <c r="FF178" s="315"/>
      <c r="FG178" s="315"/>
      <c r="FH178" s="315"/>
      <c r="FI178" s="315"/>
      <c r="FJ178" s="315"/>
      <c r="FK178" s="315"/>
      <c r="FL178" s="315"/>
      <c r="FM178" s="316" t="e">
        <f t="shared" si="134"/>
        <v>#DIV/0!</v>
      </c>
      <c r="FN178" s="316" t="e">
        <f t="shared" si="135"/>
        <v>#DIV/0!</v>
      </c>
      <c r="FO178" s="319" t="e">
        <f t="shared" si="136"/>
        <v>#DIV/0!</v>
      </c>
      <c r="FP178" s="319" t="e">
        <f t="shared" si="137"/>
        <v>#DIV/0!</v>
      </c>
      <c r="FQ178" s="320" t="e">
        <f t="shared" si="138"/>
        <v>#DIV/0!</v>
      </c>
    </row>
    <row r="179" spans="2:173" s="113" customFormat="1" ht="14" x14ac:dyDescent="0.15">
      <c r="B179" s="183" t="s">
        <v>428</v>
      </c>
      <c r="C179" s="293"/>
      <c r="D179" s="321"/>
      <c r="E179" s="321">
        <v>3490</v>
      </c>
      <c r="F179" s="321">
        <v>2499</v>
      </c>
      <c r="G179" s="289"/>
      <c r="H179" s="322">
        <v>92</v>
      </c>
      <c r="I179" s="323">
        <v>56</v>
      </c>
      <c r="J179" s="324">
        <v>3.5</v>
      </c>
      <c r="K179" s="324">
        <v>2.5</v>
      </c>
      <c r="L179" s="293"/>
      <c r="M179" s="293">
        <v>6.8</v>
      </c>
      <c r="N179" s="293"/>
      <c r="O179" s="293"/>
      <c r="P179" s="293"/>
      <c r="Q179" s="293"/>
      <c r="R179" s="293"/>
      <c r="S179" s="293"/>
      <c r="T179" s="293">
        <v>3.8</v>
      </c>
      <c r="U179" s="293">
        <v>4.7</v>
      </c>
      <c r="V179" s="293">
        <v>3.7</v>
      </c>
      <c r="W179" s="293"/>
      <c r="X179" s="293"/>
      <c r="Y179" s="293"/>
      <c r="Z179" s="293"/>
      <c r="AA179" s="293"/>
      <c r="AB179" s="293"/>
      <c r="AC179" s="293"/>
      <c r="AD179" s="293"/>
      <c r="AE179" s="293"/>
      <c r="AF179" s="325">
        <v>3.89</v>
      </c>
      <c r="AG179" s="325">
        <v>1.44</v>
      </c>
      <c r="AH179" s="290">
        <v>2.73</v>
      </c>
      <c r="AI179" s="290">
        <v>4.3</v>
      </c>
      <c r="AJ179" s="290">
        <v>3.43</v>
      </c>
      <c r="AK179" s="290">
        <v>0.76</v>
      </c>
      <c r="AL179" s="290">
        <v>2.9</v>
      </c>
      <c r="AM179" s="290">
        <v>2.14</v>
      </c>
      <c r="AN179" s="290">
        <v>0.77</v>
      </c>
      <c r="AO179" s="290">
        <v>2.81</v>
      </c>
      <c r="AP179" s="290">
        <v>2.4</v>
      </c>
      <c r="AQ179" s="290">
        <v>6.1</v>
      </c>
      <c r="AR179" s="290">
        <v>0.8</v>
      </c>
      <c r="AS179" s="290">
        <v>9.73</v>
      </c>
      <c r="AT179" s="290">
        <v>2.33</v>
      </c>
      <c r="AU179" s="290">
        <v>2.78</v>
      </c>
      <c r="AV179" s="290">
        <v>2.3199999999999998</v>
      </c>
      <c r="AW179" s="290">
        <v>2.0099999999999998</v>
      </c>
      <c r="AX179" s="289"/>
      <c r="AY179" s="287"/>
      <c r="AZ179" s="326">
        <v>94</v>
      </c>
      <c r="BA179" s="326">
        <v>92</v>
      </c>
      <c r="BB179" s="287">
        <v>91</v>
      </c>
      <c r="BC179" s="287">
        <v>92</v>
      </c>
      <c r="BD179" s="287">
        <v>90</v>
      </c>
      <c r="BE179" s="288">
        <v>92</v>
      </c>
      <c r="BF179" s="287">
        <v>91</v>
      </c>
      <c r="BG179" s="287">
        <v>87</v>
      </c>
      <c r="BH179" s="287">
        <v>90</v>
      </c>
      <c r="BI179" s="287">
        <v>91</v>
      </c>
      <c r="BJ179" s="287">
        <v>89</v>
      </c>
      <c r="BK179" s="287">
        <v>90</v>
      </c>
      <c r="BL179" s="288">
        <v>81</v>
      </c>
      <c r="BM179" s="288">
        <v>90</v>
      </c>
      <c r="BN179" s="288">
        <v>89</v>
      </c>
      <c r="BO179" s="288">
        <v>90</v>
      </c>
      <c r="BP179" s="288">
        <v>92</v>
      </c>
      <c r="BQ179" s="288">
        <v>92</v>
      </c>
      <c r="BR179" s="289"/>
      <c r="BS179" s="290">
        <v>0.25</v>
      </c>
      <c r="BT179" s="291">
        <v>0.06</v>
      </c>
      <c r="BU179" s="291">
        <v>2.4</v>
      </c>
      <c r="BV179" s="291">
        <v>0.31</v>
      </c>
      <c r="BW179" s="291">
        <v>0.04</v>
      </c>
      <c r="BX179" s="290">
        <v>0.8</v>
      </c>
      <c r="BY179" s="325"/>
      <c r="BZ179" s="293"/>
      <c r="CA179" s="327"/>
      <c r="CB179" s="328">
        <v>50</v>
      </c>
      <c r="CC179" s="328">
        <v>50</v>
      </c>
      <c r="CD179" s="327"/>
      <c r="CE179" s="327"/>
      <c r="CF179" s="327"/>
      <c r="CG179" s="327"/>
      <c r="CH179" s="329">
        <v>56</v>
      </c>
      <c r="CI179" s="325"/>
      <c r="CJ179" s="325"/>
      <c r="CK179" s="325"/>
      <c r="CL179" s="325"/>
      <c r="CM179" s="325"/>
      <c r="CN179" s="325"/>
      <c r="CO179" s="325"/>
      <c r="CP179" s="325"/>
      <c r="CQ179" s="325"/>
      <c r="CR179" s="325"/>
      <c r="CS179" s="325"/>
      <c r="CT179" s="325"/>
      <c r="CU179" s="293"/>
      <c r="CV179" s="330"/>
      <c r="CW179" s="331">
        <f t="shared" si="114"/>
        <v>3.6566000000000001</v>
      </c>
      <c r="CX179" s="331">
        <f t="shared" si="200"/>
        <v>1.3248</v>
      </c>
      <c r="CY179" s="331">
        <f t="shared" si="116"/>
        <v>2.4843000000000002</v>
      </c>
      <c r="CZ179" s="331">
        <f t="shared" si="117"/>
        <v>3.9559999999999995</v>
      </c>
      <c r="DA179" s="331">
        <f t="shared" si="118"/>
        <v>3.0869999999999997</v>
      </c>
      <c r="DB179" s="331">
        <f t="shared" si="119"/>
        <v>0.69920000000000004</v>
      </c>
      <c r="DC179" s="331">
        <f t="shared" si="139"/>
        <v>1.3472</v>
      </c>
      <c r="DD179" s="331">
        <f t="shared" si="125"/>
        <v>2.6389999999999998</v>
      </c>
      <c r="DE179" s="331">
        <f t="shared" si="156"/>
        <v>4.4882</v>
      </c>
      <c r="DF179" s="331">
        <f t="shared" si="126"/>
        <v>1.8618000000000001</v>
      </c>
      <c r="DG179" s="331">
        <f t="shared" si="127"/>
        <v>0.69299999999999995</v>
      </c>
      <c r="DH179" s="330">
        <f t="shared" si="191"/>
        <v>2.5571000000000002</v>
      </c>
      <c r="DI179" s="330">
        <f t="shared" si="192"/>
        <v>2.1360000000000001</v>
      </c>
      <c r="DJ179" s="330">
        <f t="shared" si="193"/>
        <v>5.49</v>
      </c>
      <c r="DK179" s="330">
        <f t="shared" si="194"/>
        <v>0.64800000000000002</v>
      </c>
      <c r="DL179" s="330">
        <f t="shared" si="195"/>
        <v>8.7569999999999997</v>
      </c>
      <c r="DM179" s="330">
        <f t="shared" si="196"/>
        <v>2.0737000000000001</v>
      </c>
      <c r="DN179" s="330">
        <f t="shared" si="197"/>
        <v>2.5019999999999998</v>
      </c>
      <c r="DO179" s="330">
        <f t="shared" si="198"/>
        <v>2.1343999999999999</v>
      </c>
      <c r="DP179" s="330">
        <f t="shared" si="199"/>
        <v>1.8492</v>
      </c>
      <c r="DQ179" s="330">
        <f t="shared" si="122"/>
        <v>0.4</v>
      </c>
      <c r="DR179" s="330">
        <f t="shared" si="158"/>
        <v>0.4</v>
      </c>
      <c r="DS179" s="330">
        <f t="shared" si="140"/>
        <v>0</v>
      </c>
      <c r="DT179" s="330">
        <f t="shared" si="141"/>
        <v>0</v>
      </c>
      <c r="DU179" s="289"/>
      <c r="DV179" s="332"/>
      <c r="DW179" s="311">
        <v>1000</v>
      </c>
      <c r="DX179" s="312">
        <v>0.5</v>
      </c>
      <c r="DY179" s="321"/>
      <c r="DZ179" s="321"/>
      <c r="EA179" s="333">
        <v>0.4</v>
      </c>
      <c r="EB179" s="314">
        <f t="shared" ref="EB179:EB184" si="208">BX179*EA179</f>
        <v>0.32000000000000006</v>
      </c>
      <c r="EC179" s="334"/>
      <c r="ED179" s="334"/>
      <c r="EE179" s="334"/>
      <c r="EF179" s="334"/>
      <c r="EG179" s="388">
        <f>BX179*0.662</f>
        <v>0.52960000000000007</v>
      </c>
      <c r="EH179" s="334"/>
      <c r="EI179" s="336">
        <v>0.74</v>
      </c>
      <c r="EJ179" s="334"/>
      <c r="EK179" s="334"/>
      <c r="EL179" s="334"/>
      <c r="EM179" s="334"/>
      <c r="EN179" s="334"/>
      <c r="EO179" s="334"/>
      <c r="EP179" s="334"/>
      <c r="EQ179" s="334"/>
      <c r="ER179" s="334"/>
      <c r="ES179" s="337"/>
      <c r="ET179" s="337"/>
      <c r="EU179" s="337"/>
      <c r="EV179" s="337"/>
      <c r="EW179" s="337"/>
      <c r="EX179" s="337"/>
      <c r="EY179" s="337"/>
      <c r="EZ179" s="337"/>
      <c r="FA179" s="337"/>
      <c r="FB179" s="337"/>
      <c r="FC179" s="337"/>
      <c r="FD179" s="337"/>
      <c r="FE179" s="334"/>
      <c r="FF179" s="334"/>
      <c r="FG179" s="334"/>
      <c r="FH179" s="334"/>
      <c r="FI179" s="334"/>
      <c r="FJ179" s="334"/>
      <c r="FK179" s="334"/>
      <c r="FL179" s="334"/>
      <c r="FM179" s="335">
        <f t="shared" si="134"/>
        <v>0.64638523761375133</v>
      </c>
      <c r="FN179" s="335">
        <f t="shared" si="135"/>
        <v>0.62798281092012143</v>
      </c>
      <c r="FO179" s="338">
        <f t="shared" si="136"/>
        <v>1.0293040293040292</v>
      </c>
      <c r="FP179" s="338">
        <f t="shared" si="137"/>
        <v>0.17517694641051568</v>
      </c>
      <c r="FQ179" s="339">
        <f t="shared" si="138"/>
        <v>7.0642857142857132E-2</v>
      </c>
    </row>
    <row r="180" spans="2:173" s="113" customFormat="1" ht="14" x14ac:dyDescent="0.15">
      <c r="B180" s="183" t="s">
        <v>429</v>
      </c>
      <c r="C180" s="293"/>
      <c r="D180" s="321"/>
      <c r="E180" s="321">
        <v>3896</v>
      </c>
      <c r="F180" s="321">
        <v>2310</v>
      </c>
      <c r="G180" s="289"/>
      <c r="H180" s="322">
        <v>92</v>
      </c>
      <c r="I180" s="323">
        <v>68</v>
      </c>
      <c r="J180" s="324">
        <v>4</v>
      </c>
      <c r="K180" s="324"/>
      <c r="L180" s="293"/>
      <c r="M180" s="293">
        <v>3.6</v>
      </c>
      <c r="N180" s="293"/>
      <c r="O180" s="293"/>
      <c r="P180" s="293"/>
      <c r="Q180" s="293"/>
      <c r="R180" s="293"/>
      <c r="S180" s="293"/>
      <c r="T180" s="293"/>
      <c r="U180" s="293"/>
      <c r="V180" s="293"/>
      <c r="W180" s="293"/>
      <c r="X180" s="293"/>
      <c r="Y180" s="293"/>
      <c r="Z180" s="293"/>
      <c r="AA180" s="293"/>
      <c r="AB180" s="293"/>
      <c r="AC180" s="293"/>
      <c r="AD180" s="293"/>
      <c r="AE180" s="293"/>
      <c r="AF180" s="325">
        <v>4.9000000000000004</v>
      </c>
      <c r="AG180" s="325">
        <v>1.7</v>
      </c>
      <c r="AH180" s="290">
        <v>3.2</v>
      </c>
      <c r="AI180" s="290">
        <v>5.4</v>
      </c>
      <c r="AJ180" s="290">
        <v>4.0999999999999996</v>
      </c>
      <c r="AK180" s="290">
        <v>1</v>
      </c>
      <c r="AL180" s="291">
        <v>3.7</v>
      </c>
      <c r="AM180" s="290">
        <v>2.7</v>
      </c>
      <c r="AN180" s="290">
        <v>0.9</v>
      </c>
      <c r="AO180" s="290">
        <v>3.4</v>
      </c>
      <c r="AP180" s="290"/>
      <c r="AQ180" s="290"/>
      <c r="AR180" s="290">
        <v>1</v>
      </c>
      <c r="AS180" s="290"/>
      <c r="AT180" s="290"/>
      <c r="AU180" s="290"/>
      <c r="AV180" s="290"/>
      <c r="AW180" s="291">
        <v>2.7</v>
      </c>
      <c r="AX180" s="289"/>
      <c r="AY180" s="287">
        <v>84</v>
      </c>
      <c r="AZ180" s="287">
        <v>97.2</v>
      </c>
      <c r="BA180" s="287">
        <v>92.2</v>
      </c>
      <c r="BB180" s="287">
        <v>92.6</v>
      </c>
      <c r="BC180" s="287">
        <v>92.68</v>
      </c>
      <c r="BD180" s="287">
        <v>88.41</v>
      </c>
      <c r="BE180" s="288">
        <v>92.94</v>
      </c>
      <c r="BF180" s="287">
        <v>93.814999999999998</v>
      </c>
      <c r="BG180" s="287">
        <v>86.084999999999994</v>
      </c>
      <c r="BH180" s="287">
        <v>88.08</v>
      </c>
      <c r="BI180" s="287">
        <v>91.694999999999993</v>
      </c>
      <c r="BJ180" s="287">
        <v>89.435000000000002</v>
      </c>
      <c r="BK180" s="287">
        <v>86.864999999999995</v>
      </c>
      <c r="BL180" s="288">
        <v>80.254999999999995</v>
      </c>
      <c r="BM180" s="288">
        <v>88.855000000000004</v>
      </c>
      <c r="BN180" s="288">
        <v>84.055000000000007</v>
      </c>
      <c r="BO180" s="288">
        <v>93.1</v>
      </c>
      <c r="BP180" s="288">
        <v>90.525000000000006</v>
      </c>
      <c r="BQ180" s="292">
        <v>94.435000000000002</v>
      </c>
      <c r="BR180" s="293"/>
      <c r="BS180" s="290">
        <v>0.2</v>
      </c>
      <c r="BT180" s="291">
        <v>0.04</v>
      </c>
      <c r="BU180" s="291">
        <v>0.3</v>
      </c>
      <c r="BV180" s="291">
        <v>0.1</v>
      </c>
      <c r="BW180" s="291">
        <v>0.5</v>
      </c>
      <c r="BX180" s="290">
        <v>0.5</v>
      </c>
      <c r="BY180" s="325"/>
      <c r="BZ180" s="293"/>
      <c r="CA180" s="327"/>
      <c r="CB180" s="328"/>
      <c r="CC180" s="328"/>
      <c r="CD180" s="327"/>
      <c r="CE180" s="327"/>
      <c r="CF180" s="327"/>
      <c r="CG180" s="327"/>
      <c r="CH180" s="329"/>
      <c r="CI180" s="325"/>
      <c r="CJ180" s="325"/>
      <c r="CK180" s="325"/>
      <c r="CL180" s="325"/>
      <c r="CM180" s="325"/>
      <c r="CN180" s="325"/>
      <c r="CO180" s="325"/>
      <c r="CP180" s="325"/>
      <c r="CQ180" s="325"/>
      <c r="CR180" s="325"/>
      <c r="CS180" s="325"/>
      <c r="CT180" s="325"/>
      <c r="CU180" s="293"/>
      <c r="CV180" s="330"/>
      <c r="CW180" s="331">
        <f t="shared" si="114"/>
        <v>4.7628000000000004</v>
      </c>
      <c r="CX180" s="331">
        <f t="shared" si="200"/>
        <v>1.5674000000000001</v>
      </c>
      <c r="CY180" s="331">
        <f t="shared" si="116"/>
        <v>2.9632000000000001</v>
      </c>
      <c r="CZ180" s="331">
        <f t="shared" si="117"/>
        <v>5.0047200000000007</v>
      </c>
      <c r="DA180" s="331">
        <f t="shared" si="118"/>
        <v>3.6248099999999992</v>
      </c>
      <c r="DB180" s="331">
        <f t="shared" si="119"/>
        <v>0.9294</v>
      </c>
      <c r="DC180" s="331">
        <f t="shared" si="139"/>
        <v>1.7319499999999999</v>
      </c>
      <c r="DD180" s="331">
        <f t="shared" si="125"/>
        <v>3.471155</v>
      </c>
      <c r="DE180" s="331">
        <f t="shared" si="156"/>
        <v>6.0209000000000001</v>
      </c>
      <c r="DF180" s="331">
        <f t="shared" si="126"/>
        <v>2.3242949999999998</v>
      </c>
      <c r="DG180" s="331">
        <f t="shared" si="127"/>
        <v>0.79272000000000009</v>
      </c>
      <c r="DH180" s="308">
        <f t="shared" si="191"/>
        <v>3.1176299999999997</v>
      </c>
      <c r="DI180" s="308">
        <f t="shared" si="192"/>
        <v>0</v>
      </c>
      <c r="DJ180" s="308">
        <f t="shared" si="193"/>
        <v>0</v>
      </c>
      <c r="DK180" s="308">
        <f t="shared" si="194"/>
        <v>0.80254999999999999</v>
      </c>
      <c r="DL180" s="308">
        <f t="shared" si="195"/>
        <v>0</v>
      </c>
      <c r="DM180" s="308">
        <f t="shared" si="196"/>
        <v>0</v>
      </c>
      <c r="DN180" s="308">
        <f t="shared" si="197"/>
        <v>0</v>
      </c>
      <c r="DO180" s="308">
        <f t="shared" si="198"/>
        <v>0</v>
      </c>
      <c r="DP180" s="308">
        <f t="shared" si="199"/>
        <v>2.5497450000000002</v>
      </c>
      <c r="DQ180" s="330">
        <f t="shared" si="122"/>
        <v>0</v>
      </c>
      <c r="DR180" s="330">
        <f t="shared" si="158"/>
        <v>0</v>
      </c>
      <c r="DS180" s="330">
        <f t="shared" si="140"/>
        <v>0</v>
      </c>
      <c r="DT180" s="330">
        <f t="shared" si="141"/>
        <v>0</v>
      </c>
      <c r="DU180" s="289"/>
      <c r="DV180" s="332"/>
      <c r="DW180" s="311">
        <f t="shared" si="157"/>
        <v>0</v>
      </c>
      <c r="DX180" s="312"/>
      <c r="DY180" s="321"/>
      <c r="DZ180" s="321"/>
      <c r="EA180" s="333"/>
      <c r="EB180" s="314">
        <f t="shared" si="208"/>
        <v>0</v>
      </c>
      <c r="EC180" s="334"/>
      <c r="ED180" s="334"/>
      <c r="EE180" s="334"/>
      <c r="EF180" s="334"/>
      <c r="EG180" s="388"/>
      <c r="EH180" s="334"/>
      <c r="EI180" s="336"/>
      <c r="EJ180" s="334"/>
      <c r="EK180" s="334"/>
      <c r="EL180" s="334"/>
      <c r="EM180" s="334"/>
      <c r="EN180" s="334"/>
      <c r="EO180" s="334"/>
      <c r="EP180" s="334"/>
      <c r="EQ180" s="334"/>
      <c r="ER180" s="334"/>
      <c r="ES180" s="337"/>
      <c r="ET180" s="337"/>
      <c r="EU180" s="337"/>
      <c r="EV180" s="337"/>
      <c r="EW180" s="337"/>
      <c r="EX180" s="337"/>
      <c r="EY180" s="337"/>
      <c r="EZ180" s="337"/>
      <c r="FA180" s="337"/>
      <c r="FB180" s="337"/>
      <c r="FC180" s="337"/>
      <c r="FD180" s="337"/>
      <c r="FE180" s="334"/>
      <c r="FF180" s="334"/>
      <c r="FG180" s="334"/>
      <c r="FH180" s="334"/>
      <c r="FI180" s="334"/>
      <c r="FJ180" s="334"/>
      <c r="FK180" s="334"/>
      <c r="FL180" s="334"/>
      <c r="FM180" s="335">
        <f t="shared" si="134"/>
        <v>0.62293794657842982</v>
      </c>
      <c r="FN180" s="335">
        <f t="shared" si="135"/>
        <v>0.59208107546476119</v>
      </c>
      <c r="FO180" s="338">
        <f t="shared" si="136"/>
        <v>1.052115955723542</v>
      </c>
      <c r="FP180" s="338">
        <f t="shared" si="137"/>
        <v>0.1583944756150194</v>
      </c>
      <c r="FQ180" s="339">
        <f t="shared" si="138"/>
        <v>7.3598823529411772E-2</v>
      </c>
    </row>
    <row r="181" spans="2:173" s="113" customFormat="1" ht="14" x14ac:dyDescent="0.15">
      <c r="B181" s="183" t="s">
        <v>430</v>
      </c>
      <c r="C181" s="293"/>
      <c r="D181" s="321">
        <v>3168</v>
      </c>
      <c r="E181" s="321">
        <v>3029</v>
      </c>
      <c r="F181" s="321">
        <v>2317</v>
      </c>
      <c r="G181" s="289"/>
      <c r="H181" s="322"/>
      <c r="I181" s="323">
        <v>21.3</v>
      </c>
      <c r="J181" s="324">
        <v>0.3</v>
      </c>
      <c r="K181" s="324">
        <v>2.4</v>
      </c>
      <c r="L181" s="293"/>
      <c r="M181" s="293"/>
      <c r="N181" s="293">
        <v>41.1</v>
      </c>
      <c r="O181" s="293"/>
      <c r="P181" s="293"/>
      <c r="Q181" s="293"/>
      <c r="R181" s="293"/>
      <c r="S181" s="293"/>
      <c r="T181" s="293"/>
      <c r="U181" s="293"/>
      <c r="V181" s="293"/>
      <c r="W181" s="293"/>
      <c r="X181" s="293"/>
      <c r="Y181" s="293"/>
      <c r="Z181" s="293"/>
      <c r="AA181" s="293"/>
      <c r="AB181" s="293"/>
      <c r="AC181" s="293"/>
      <c r="AD181" s="293"/>
      <c r="AE181" s="293"/>
      <c r="AF181" s="325"/>
      <c r="AG181" s="325"/>
      <c r="AH181" s="290"/>
      <c r="AI181" s="290"/>
      <c r="AJ181" s="290"/>
      <c r="AK181" s="290"/>
      <c r="AL181" s="291"/>
      <c r="AM181" s="290"/>
      <c r="AN181" s="290"/>
      <c r="AO181" s="290"/>
      <c r="AP181" s="290"/>
      <c r="AQ181" s="290"/>
      <c r="AR181" s="290"/>
      <c r="AS181" s="290"/>
      <c r="AT181" s="290"/>
      <c r="AU181" s="290"/>
      <c r="AV181" s="290"/>
      <c r="AW181" s="291"/>
      <c r="AX181" s="289"/>
      <c r="AY181" s="287"/>
      <c r="AZ181" s="287"/>
      <c r="BA181" s="287"/>
      <c r="BB181" s="287"/>
      <c r="BC181" s="287"/>
      <c r="BD181" s="287"/>
      <c r="BE181" s="288"/>
      <c r="BF181" s="287"/>
      <c r="BG181" s="287"/>
      <c r="BH181" s="287"/>
      <c r="BI181" s="287"/>
      <c r="BJ181" s="287"/>
      <c r="BK181" s="287"/>
      <c r="BL181" s="288"/>
      <c r="BM181" s="288"/>
      <c r="BN181" s="288"/>
      <c r="BO181" s="288"/>
      <c r="BP181" s="288"/>
      <c r="BQ181" s="292"/>
      <c r="BR181" s="293"/>
      <c r="BS181" s="290">
        <v>3.05</v>
      </c>
      <c r="BT181" s="291">
        <v>2.57</v>
      </c>
      <c r="BU181" s="291">
        <v>1.26</v>
      </c>
      <c r="BV181" s="291"/>
      <c r="BW181" s="291">
        <v>1.75</v>
      </c>
      <c r="BX181" s="290">
        <v>1.72</v>
      </c>
      <c r="BY181" s="325"/>
      <c r="BZ181" s="293"/>
      <c r="CA181" s="327"/>
      <c r="CB181" s="328">
        <v>86</v>
      </c>
      <c r="CC181" s="328">
        <v>86</v>
      </c>
      <c r="CD181" s="327"/>
      <c r="CE181" s="327"/>
      <c r="CF181" s="327"/>
      <c r="CG181" s="327"/>
      <c r="CH181" s="329">
        <v>21.3</v>
      </c>
      <c r="CI181" s="325"/>
      <c r="CJ181" s="325"/>
      <c r="CK181" s="325"/>
      <c r="CL181" s="325"/>
      <c r="CM181" s="325">
        <v>2.88</v>
      </c>
      <c r="CN181" s="325"/>
      <c r="CO181" s="325"/>
      <c r="CP181" s="325"/>
      <c r="CQ181" s="325"/>
      <c r="CR181" s="325"/>
      <c r="CS181" s="325"/>
      <c r="CT181" s="325"/>
      <c r="CU181" s="293"/>
      <c r="CV181" s="330"/>
      <c r="CW181" s="331">
        <f t="shared" si="114"/>
        <v>0</v>
      </c>
      <c r="CX181" s="331">
        <f t="shared" si="200"/>
        <v>0</v>
      </c>
      <c r="CY181" s="331">
        <f t="shared" si="116"/>
        <v>0</v>
      </c>
      <c r="CZ181" s="331">
        <f t="shared" si="117"/>
        <v>0</v>
      </c>
      <c r="DA181" s="331">
        <f t="shared" si="118"/>
        <v>0</v>
      </c>
      <c r="DB181" s="331">
        <f t="shared" si="119"/>
        <v>0</v>
      </c>
      <c r="DC181" s="331">
        <f t="shared" si="139"/>
        <v>0</v>
      </c>
      <c r="DD181" s="331">
        <f t="shared" si="125"/>
        <v>0</v>
      </c>
      <c r="DE181" s="331">
        <f t="shared" si="156"/>
        <v>0</v>
      </c>
      <c r="DF181" s="331">
        <f t="shared" si="126"/>
        <v>0</v>
      </c>
      <c r="DG181" s="331">
        <f t="shared" si="127"/>
        <v>0</v>
      </c>
      <c r="DH181" s="308">
        <f t="shared" si="191"/>
        <v>0</v>
      </c>
      <c r="DI181" s="308">
        <f t="shared" si="192"/>
        <v>0</v>
      </c>
      <c r="DJ181" s="308">
        <f t="shared" si="193"/>
        <v>0</v>
      </c>
      <c r="DK181" s="308">
        <f t="shared" si="194"/>
        <v>0</v>
      </c>
      <c r="DL181" s="308">
        <f t="shared" si="195"/>
        <v>0</v>
      </c>
      <c r="DM181" s="308">
        <f t="shared" si="196"/>
        <v>0</v>
      </c>
      <c r="DN181" s="308">
        <f t="shared" si="197"/>
        <v>0</v>
      </c>
      <c r="DO181" s="308">
        <f t="shared" si="198"/>
        <v>0</v>
      </c>
      <c r="DP181" s="308">
        <f t="shared" si="199"/>
        <v>0</v>
      </c>
      <c r="DQ181" s="330">
        <f t="shared" si="122"/>
        <v>1.4791999999999998</v>
      </c>
      <c r="DR181" s="330">
        <f t="shared" si="158"/>
        <v>1.4791999999999998</v>
      </c>
      <c r="DS181" s="330">
        <f t="shared" si="140"/>
        <v>0</v>
      </c>
      <c r="DT181" s="330">
        <f t="shared" si="141"/>
        <v>0</v>
      </c>
      <c r="DU181" s="289"/>
      <c r="DV181" s="332"/>
      <c r="DW181" s="311">
        <v>1200</v>
      </c>
      <c r="DX181" s="312">
        <v>0.6</v>
      </c>
      <c r="DY181" s="321"/>
      <c r="DZ181" s="321"/>
      <c r="EA181" s="340">
        <v>0.96</v>
      </c>
      <c r="EB181" s="314">
        <f t="shared" si="208"/>
        <v>1.6512</v>
      </c>
      <c r="EC181" s="334"/>
      <c r="ED181" s="334"/>
      <c r="EE181" s="334">
        <v>5180</v>
      </c>
      <c r="EF181" s="334"/>
      <c r="EG181" s="388"/>
      <c r="EH181" s="334"/>
      <c r="EI181" s="336"/>
      <c r="EJ181" s="334"/>
      <c r="EK181" s="341">
        <v>1.123E-2</v>
      </c>
      <c r="EL181" s="341">
        <v>6.29E-4</v>
      </c>
      <c r="EM181" s="341">
        <v>1.8900000000000001E-4</v>
      </c>
      <c r="EN181" s="341">
        <v>9.43989930774072E-5</v>
      </c>
      <c r="EO181" s="341">
        <v>1.6991818753933301E-6</v>
      </c>
      <c r="EP181" s="341">
        <v>1.6991818753933301E-6</v>
      </c>
      <c r="EQ181" s="342"/>
      <c r="ER181" s="334"/>
      <c r="ES181" s="337">
        <v>10714.29</v>
      </c>
      <c r="ET181" s="337">
        <v>4285.7139999999999</v>
      </c>
      <c r="EU181" s="337">
        <v>114.28570000000001</v>
      </c>
      <c r="EV181" s="337">
        <v>8.5714290000000002</v>
      </c>
      <c r="EW181" s="337">
        <v>8.5713999999999999E-2</v>
      </c>
      <c r="EX181" s="337">
        <v>128.57140000000001</v>
      </c>
      <c r="EY181" s="337">
        <v>71.428569999999993</v>
      </c>
      <c r="EZ181" s="337">
        <v>21.428570000000001</v>
      </c>
      <c r="FA181" s="337"/>
      <c r="FB181" s="337"/>
      <c r="FC181" s="337"/>
      <c r="FD181" s="337"/>
      <c r="FE181" s="334"/>
      <c r="FF181" s="334"/>
      <c r="FG181" s="334"/>
      <c r="FH181" s="334"/>
      <c r="FI181" s="334"/>
      <c r="FJ181" s="334"/>
      <c r="FK181" s="334"/>
      <c r="FL181" s="334"/>
      <c r="FM181" s="335" t="e">
        <f t="shared" si="134"/>
        <v>#DIV/0!</v>
      </c>
      <c r="FN181" s="335" t="e">
        <f t="shared" si="135"/>
        <v>#DIV/0!</v>
      </c>
      <c r="FO181" s="338" t="e">
        <f t="shared" si="136"/>
        <v>#DIV/0!</v>
      </c>
      <c r="FP181" s="338" t="e">
        <f t="shared" si="137"/>
        <v>#DIV/0!</v>
      </c>
      <c r="FQ181" s="343">
        <f t="shared" si="138"/>
        <v>0</v>
      </c>
    </row>
    <row r="182" spans="2:173" s="113" customFormat="1" ht="14" x14ac:dyDescent="0.15">
      <c r="B182" s="183" t="s">
        <v>431</v>
      </c>
      <c r="C182" s="293"/>
      <c r="D182" s="321">
        <v>1990</v>
      </c>
      <c r="E182" s="321">
        <v>1783</v>
      </c>
      <c r="F182" s="321">
        <v>928</v>
      </c>
      <c r="G182" s="289"/>
      <c r="H182" s="322"/>
      <c r="I182" s="323">
        <v>46</v>
      </c>
      <c r="J182" s="324">
        <v>4</v>
      </c>
      <c r="K182" s="324">
        <v>1</v>
      </c>
      <c r="L182" s="293"/>
      <c r="M182" s="293"/>
      <c r="N182" s="293"/>
      <c r="O182" s="293"/>
      <c r="P182" s="293"/>
      <c r="Q182" s="293"/>
      <c r="R182" s="293"/>
      <c r="S182" s="293"/>
      <c r="T182" s="293"/>
      <c r="U182" s="293"/>
      <c r="V182" s="293"/>
      <c r="W182" s="293"/>
      <c r="X182" s="293"/>
      <c r="Y182" s="293"/>
      <c r="Z182" s="293"/>
      <c r="AA182" s="293"/>
      <c r="AB182" s="293"/>
      <c r="AC182" s="293"/>
      <c r="AD182" s="293"/>
      <c r="AE182" s="293"/>
      <c r="AF182" s="325">
        <v>3.19</v>
      </c>
      <c r="AG182" s="325">
        <v>1.24</v>
      </c>
      <c r="AH182" s="290">
        <v>2.42</v>
      </c>
      <c r="AI182" s="290">
        <v>3.8</v>
      </c>
      <c r="AJ182" s="290">
        <v>3</v>
      </c>
      <c r="AK182" s="290">
        <v>0.66</v>
      </c>
      <c r="AL182" s="291">
        <v>2.5</v>
      </c>
      <c r="AM182" s="290">
        <v>1.79</v>
      </c>
      <c r="AN182" s="290">
        <v>0.74</v>
      </c>
      <c r="AO182" s="290">
        <v>2.52</v>
      </c>
      <c r="AP182" s="290"/>
      <c r="AQ182" s="290"/>
      <c r="AR182" s="290">
        <v>0.66</v>
      </c>
      <c r="AS182" s="290"/>
      <c r="AT182" s="290"/>
      <c r="AU182" s="290"/>
      <c r="AV182" s="290"/>
      <c r="AW182" s="325"/>
      <c r="AX182" s="293"/>
      <c r="AY182" s="292"/>
      <c r="AZ182" s="292">
        <v>95.88</v>
      </c>
      <c r="BA182" s="292">
        <v>91.8</v>
      </c>
      <c r="BB182" s="287">
        <v>90.78</v>
      </c>
      <c r="BC182" s="287">
        <v>89.76</v>
      </c>
      <c r="BD182" s="287">
        <v>87.83</v>
      </c>
      <c r="BE182" s="288">
        <v>91.8</v>
      </c>
      <c r="BF182" s="287">
        <v>89.76</v>
      </c>
      <c r="BG182" s="287">
        <v>86.7</v>
      </c>
      <c r="BH182" s="287">
        <v>92.82</v>
      </c>
      <c r="BI182" s="287">
        <v>88.74</v>
      </c>
      <c r="BJ182" s="287"/>
      <c r="BK182" s="287"/>
      <c r="BL182" s="288">
        <v>85.68</v>
      </c>
      <c r="BM182" s="288"/>
      <c r="BN182" s="288"/>
      <c r="BO182" s="288"/>
      <c r="BP182" s="288"/>
      <c r="BQ182" s="292">
        <v>88</v>
      </c>
      <c r="BR182" s="293"/>
      <c r="BS182" s="290">
        <v>0.41</v>
      </c>
      <c r="BT182" s="291"/>
      <c r="BU182" s="291"/>
      <c r="BV182" s="291"/>
      <c r="BW182" s="291"/>
      <c r="BX182" s="290">
        <v>0.69</v>
      </c>
      <c r="BY182" s="325"/>
      <c r="BZ182" s="293"/>
      <c r="CA182" s="327"/>
      <c r="CB182" s="328">
        <v>39</v>
      </c>
      <c r="CC182" s="328">
        <v>48</v>
      </c>
      <c r="CD182" s="327"/>
      <c r="CE182" s="327"/>
      <c r="CF182" s="327"/>
      <c r="CG182" s="327"/>
      <c r="CH182" s="329">
        <v>46</v>
      </c>
      <c r="CI182" s="325"/>
      <c r="CJ182" s="325"/>
      <c r="CK182" s="325"/>
      <c r="CL182" s="325"/>
      <c r="CM182" s="325"/>
      <c r="CN182" s="325"/>
      <c r="CO182" s="325"/>
      <c r="CP182" s="325"/>
      <c r="CQ182" s="325"/>
      <c r="CR182" s="325"/>
      <c r="CS182" s="325"/>
      <c r="CT182" s="325"/>
      <c r="CU182" s="293"/>
      <c r="CV182" s="330"/>
      <c r="CW182" s="331">
        <f t="shared" si="114"/>
        <v>3.0585719999999998</v>
      </c>
      <c r="CX182" s="331">
        <f t="shared" si="200"/>
        <v>1.13832</v>
      </c>
      <c r="CY182" s="331">
        <f t="shared" si="116"/>
        <v>2.1968760000000001</v>
      </c>
      <c r="CZ182" s="331">
        <f t="shared" si="117"/>
        <v>3.4108800000000001</v>
      </c>
      <c r="DA182" s="331">
        <f t="shared" si="118"/>
        <v>2.6349</v>
      </c>
      <c r="DB182" s="331">
        <f t="shared" si="119"/>
        <v>0.60587999999999997</v>
      </c>
      <c r="DC182" s="331">
        <f t="shared" si="139"/>
        <v>1.1713680000000002</v>
      </c>
      <c r="DD182" s="331">
        <f t="shared" si="125"/>
        <v>2.2440000000000002</v>
      </c>
      <c r="DE182" s="331">
        <f t="shared" si="156"/>
        <v>2.2440000000000002</v>
      </c>
      <c r="DF182" s="331">
        <f t="shared" si="126"/>
        <v>1.55193</v>
      </c>
      <c r="DG182" s="331">
        <f t="shared" si="127"/>
        <v>0.68686799999999992</v>
      </c>
      <c r="DH182" s="308">
        <f t="shared" si="191"/>
        <v>2.2362479999999998</v>
      </c>
      <c r="DI182" s="308">
        <f t="shared" si="192"/>
        <v>0</v>
      </c>
      <c r="DJ182" s="308">
        <f t="shared" si="193"/>
        <v>0</v>
      </c>
      <c r="DK182" s="308">
        <f t="shared" si="194"/>
        <v>0.5654880000000001</v>
      </c>
      <c r="DL182" s="308">
        <f t="shared" si="195"/>
        <v>0</v>
      </c>
      <c r="DM182" s="308">
        <f t="shared" si="196"/>
        <v>0</v>
      </c>
      <c r="DN182" s="308">
        <f t="shared" si="197"/>
        <v>0</v>
      </c>
      <c r="DO182" s="308">
        <f t="shared" si="198"/>
        <v>0</v>
      </c>
      <c r="DP182" s="308">
        <f t="shared" si="199"/>
        <v>0</v>
      </c>
      <c r="DQ182" s="330">
        <f t="shared" si="122"/>
        <v>0.26909999999999995</v>
      </c>
      <c r="DR182" s="330">
        <f t="shared" si="158"/>
        <v>0.33119999999999999</v>
      </c>
      <c r="DS182" s="330">
        <f t="shared" si="140"/>
        <v>0</v>
      </c>
      <c r="DT182" s="330">
        <f t="shared" si="141"/>
        <v>0</v>
      </c>
      <c r="DU182" s="289"/>
      <c r="DV182" s="332"/>
      <c r="DW182" s="311">
        <v>511</v>
      </c>
      <c r="DX182" s="312">
        <v>0.25600000000000001</v>
      </c>
      <c r="DY182" s="321"/>
      <c r="DZ182" s="321"/>
      <c r="EA182" s="340">
        <v>0.23</v>
      </c>
      <c r="EB182" s="314">
        <f t="shared" si="208"/>
        <v>0.15870000000000001</v>
      </c>
      <c r="EC182" s="334"/>
      <c r="ED182" s="334"/>
      <c r="EE182" s="334"/>
      <c r="EF182" s="334"/>
      <c r="EG182" s="388"/>
      <c r="EH182" s="334"/>
      <c r="EI182" s="336"/>
      <c r="EJ182" s="334"/>
      <c r="EK182" s="344"/>
      <c r="EL182" s="344"/>
      <c r="EM182" s="344"/>
      <c r="EN182" s="344"/>
      <c r="EO182" s="344"/>
      <c r="EP182" s="344"/>
      <c r="EQ182" s="334"/>
      <c r="ER182" s="334"/>
      <c r="ES182" s="337"/>
      <c r="ET182" s="337"/>
      <c r="EU182" s="337"/>
      <c r="EV182" s="337"/>
      <c r="EW182" s="337"/>
      <c r="EX182" s="337"/>
      <c r="EY182" s="337"/>
      <c r="EZ182" s="337"/>
      <c r="FA182" s="337"/>
      <c r="FB182" s="337"/>
      <c r="FC182" s="337"/>
      <c r="FD182" s="337"/>
      <c r="FE182" s="334"/>
      <c r="FF182" s="334"/>
      <c r="FG182" s="334"/>
      <c r="FH182" s="334"/>
      <c r="FI182" s="334"/>
      <c r="FJ182" s="334"/>
      <c r="FK182" s="334"/>
      <c r="FL182" s="334"/>
      <c r="FM182" s="335">
        <f t="shared" si="134"/>
        <v>0.65562200956937788</v>
      </c>
      <c r="FN182" s="335">
        <f t="shared" si="135"/>
        <v>0.64407894736842108</v>
      </c>
      <c r="FO182" s="338">
        <f t="shared" si="136"/>
        <v>1.01792181261027</v>
      </c>
      <c r="FP182" s="338">
        <f t="shared" si="137"/>
        <v>0.20137559808612437</v>
      </c>
      <c r="FQ182" s="339">
        <f t="shared" si="138"/>
        <v>7.4149565217391314E-2</v>
      </c>
    </row>
    <row r="183" spans="2:173" s="113" customFormat="1" ht="28" x14ac:dyDescent="0.15">
      <c r="B183" s="183" t="s">
        <v>458</v>
      </c>
      <c r="C183" s="293"/>
      <c r="D183" s="321">
        <v>3675</v>
      </c>
      <c r="E183" s="321">
        <v>3315</v>
      </c>
      <c r="F183" s="321">
        <v>2351.36</v>
      </c>
      <c r="G183" s="289"/>
      <c r="H183" s="322">
        <v>87</v>
      </c>
      <c r="I183" s="323">
        <v>45.78</v>
      </c>
      <c r="J183" s="324">
        <v>3.85</v>
      </c>
      <c r="K183" s="324">
        <v>1.52</v>
      </c>
      <c r="L183" s="329">
        <v>2.86</v>
      </c>
      <c r="M183" s="329">
        <v>6.24</v>
      </c>
      <c r="N183" s="293"/>
      <c r="O183" s="293">
        <v>4.3</v>
      </c>
      <c r="P183" s="329">
        <v>3.78</v>
      </c>
      <c r="Q183" s="329">
        <v>7.33</v>
      </c>
      <c r="R183" s="293"/>
      <c r="S183" s="329">
        <v>3.81</v>
      </c>
      <c r="T183" s="329">
        <v>1.89</v>
      </c>
      <c r="U183" s="329">
        <v>8.2100000000000009</v>
      </c>
      <c r="V183" s="329">
        <v>5.28</v>
      </c>
      <c r="W183" s="329">
        <v>1.1000000000000001</v>
      </c>
      <c r="X183" s="329">
        <v>16.71</v>
      </c>
      <c r="Y183" s="293"/>
      <c r="Z183" s="293"/>
      <c r="AA183" s="293"/>
      <c r="AB183" s="329">
        <v>28.27</v>
      </c>
      <c r="AC183" s="329">
        <v>88</v>
      </c>
      <c r="AD183" s="329">
        <v>41.477899999999998</v>
      </c>
      <c r="AE183" s="293"/>
      <c r="AF183" s="325">
        <v>3.09</v>
      </c>
      <c r="AG183" s="325">
        <v>1.139</v>
      </c>
      <c r="AH183" s="290">
        <v>1.946</v>
      </c>
      <c r="AI183" s="290">
        <v>3.2949999999999999</v>
      </c>
      <c r="AJ183" s="290">
        <v>2.7109999999999999</v>
      </c>
      <c r="AK183" s="290">
        <v>0.56000000000000005</v>
      </c>
      <c r="AL183" s="291">
        <v>2.2429999999999999</v>
      </c>
      <c r="AM183" s="290">
        <v>1.7430000000000001</v>
      </c>
      <c r="AN183" s="290">
        <v>0.61599999999999999</v>
      </c>
      <c r="AO183" s="290">
        <v>2.0459999999999998</v>
      </c>
      <c r="AP183" s="290">
        <v>1.9219999999999999</v>
      </c>
      <c r="AQ183" s="290">
        <v>4.7690000000000001</v>
      </c>
      <c r="AR183" s="290">
        <v>0.57899999999999996</v>
      </c>
      <c r="AS183" s="290">
        <v>7.8929999999999998</v>
      </c>
      <c r="AT183" s="290">
        <v>1.8340000000000001</v>
      </c>
      <c r="AU183" s="290">
        <v>1.611</v>
      </c>
      <c r="AV183" s="290">
        <v>2.2389999999999999</v>
      </c>
      <c r="AW183" s="325">
        <v>1.177</v>
      </c>
      <c r="AX183" s="293"/>
      <c r="AY183" s="292">
        <v>87</v>
      </c>
      <c r="AZ183" s="292">
        <v>94</v>
      </c>
      <c r="BA183" s="292">
        <v>90</v>
      </c>
      <c r="BB183" s="287">
        <v>89</v>
      </c>
      <c r="BC183" s="287">
        <v>88</v>
      </c>
      <c r="BD183" s="287">
        <v>89</v>
      </c>
      <c r="BE183" s="288">
        <v>90</v>
      </c>
      <c r="BF183" s="287">
        <v>88</v>
      </c>
      <c r="BG183" s="287">
        <v>85</v>
      </c>
      <c r="BH183" s="287">
        <v>91</v>
      </c>
      <c r="BI183" s="287">
        <v>87</v>
      </c>
      <c r="BJ183" s="287">
        <v>85</v>
      </c>
      <c r="BK183" s="287">
        <v>87</v>
      </c>
      <c r="BL183" s="288">
        <v>84</v>
      </c>
      <c r="BM183" s="288">
        <v>89</v>
      </c>
      <c r="BN183" s="288">
        <v>84</v>
      </c>
      <c r="BO183" s="288">
        <v>113</v>
      </c>
      <c r="BP183" s="288">
        <v>89</v>
      </c>
      <c r="BQ183" s="292">
        <v>88</v>
      </c>
      <c r="BR183" s="293"/>
      <c r="BS183" s="290">
        <v>0.33</v>
      </c>
      <c r="BT183" s="291">
        <v>4.9000000000000002E-2</v>
      </c>
      <c r="BU183" s="291">
        <v>2.2400000000000002</v>
      </c>
      <c r="BV183" s="291">
        <v>0.27</v>
      </c>
      <c r="BW183" s="291">
        <v>0.08</v>
      </c>
      <c r="BX183" s="290">
        <v>0.71</v>
      </c>
      <c r="BY183" s="325"/>
      <c r="BZ183" s="293"/>
      <c r="CA183" s="328">
        <v>0.38</v>
      </c>
      <c r="CB183" s="328">
        <v>39</v>
      </c>
      <c r="CC183" s="328">
        <v>48</v>
      </c>
      <c r="CD183" s="328">
        <v>78</v>
      </c>
      <c r="CE183" s="328">
        <v>85</v>
      </c>
      <c r="CF183" s="328">
        <v>24.877600000000001</v>
      </c>
      <c r="CG183" s="327"/>
      <c r="CH183" s="329">
        <v>39.138599999999997</v>
      </c>
      <c r="CI183" s="325">
        <v>3.1739999999999999</v>
      </c>
      <c r="CJ183" s="325">
        <v>1.1135999999999999</v>
      </c>
      <c r="CK183" s="325">
        <v>1.8617999999999999</v>
      </c>
      <c r="CL183" s="325">
        <v>3.1132</v>
      </c>
      <c r="CM183" s="325">
        <v>2.5752000000000002</v>
      </c>
      <c r="CN183" s="325">
        <v>0.58079999999999998</v>
      </c>
      <c r="CO183" s="325">
        <v>1.1337999999999999</v>
      </c>
      <c r="CP183" s="325">
        <v>2.0640000000000001</v>
      </c>
      <c r="CQ183" s="325">
        <v>3.3996</v>
      </c>
      <c r="CR183" s="325">
        <v>1.488</v>
      </c>
      <c r="CS183" s="325">
        <v>0.58079999999999998</v>
      </c>
      <c r="CT183" s="325">
        <v>1.8509</v>
      </c>
      <c r="CU183" s="293"/>
      <c r="CV183" s="330">
        <v>41.53</v>
      </c>
      <c r="CW183" s="331">
        <f t="shared" si="114"/>
        <v>2.9045999999999998</v>
      </c>
      <c r="CX183" s="331">
        <f t="shared" si="200"/>
        <v>1.0251000000000001</v>
      </c>
      <c r="CY183" s="331">
        <f t="shared" si="116"/>
        <v>1.7319399999999998</v>
      </c>
      <c r="CZ183" s="331">
        <f t="shared" si="117"/>
        <v>2.8996</v>
      </c>
      <c r="DA183" s="331">
        <f t="shared" si="118"/>
        <v>2.4127899999999998</v>
      </c>
      <c r="DB183" s="331">
        <f t="shared" si="119"/>
        <v>0.504</v>
      </c>
      <c r="DC183" s="331">
        <f t="shared" si="139"/>
        <v>0.99036000000000002</v>
      </c>
      <c r="DD183" s="331">
        <f t="shared" si="125"/>
        <v>1.9738399999999998</v>
      </c>
      <c r="DE183" s="331">
        <f t="shared" si="156"/>
        <v>3.0095999999999998</v>
      </c>
      <c r="DF183" s="331">
        <f t="shared" si="126"/>
        <v>1.4815499999999999</v>
      </c>
      <c r="DG183" s="331">
        <f t="shared" si="127"/>
        <v>0.56055999999999995</v>
      </c>
      <c r="DH183" s="308">
        <f t="shared" si="191"/>
        <v>1.7800199999999997</v>
      </c>
      <c r="DI183" s="308">
        <f t="shared" si="192"/>
        <v>1.6337000000000002</v>
      </c>
      <c r="DJ183" s="308">
        <f t="shared" si="193"/>
        <v>4.1490299999999998</v>
      </c>
      <c r="DK183" s="308">
        <f t="shared" si="194"/>
        <v>0.48635999999999996</v>
      </c>
      <c r="DL183" s="308">
        <f t="shared" si="195"/>
        <v>7.0247700000000002</v>
      </c>
      <c r="DM183" s="308">
        <f t="shared" si="196"/>
        <v>1.5405600000000002</v>
      </c>
      <c r="DN183" s="308">
        <f t="shared" si="197"/>
        <v>1.82043</v>
      </c>
      <c r="DO183" s="308">
        <f t="shared" si="198"/>
        <v>1.9927099999999998</v>
      </c>
      <c r="DP183" s="308">
        <f t="shared" si="199"/>
        <v>1.03576</v>
      </c>
      <c r="DQ183" s="330">
        <f t="shared" si="122"/>
        <v>0.27689999999999998</v>
      </c>
      <c r="DR183" s="330">
        <f t="shared" si="158"/>
        <v>0.34079999999999999</v>
      </c>
      <c r="DS183" s="330">
        <f t="shared" si="140"/>
        <v>0.25740000000000002</v>
      </c>
      <c r="DT183" s="330">
        <f t="shared" si="141"/>
        <v>0.28050000000000003</v>
      </c>
      <c r="DU183" s="289"/>
      <c r="DV183" s="332">
        <v>46.5</v>
      </c>
      <c r="DW183" s="311">
        <v>300</v>
      </c>
      <c r="DX183" s="312">
        <v>0.15</v>
      </c>
      <c r="DY183" s="321">
        <v>2000</v>
      </c>
      <c r="DZ183" s="321">
        <v>2120</v>
      </c>
      <c r="EA183" s="340">
        <v>0.23</v>
      </c>
      <c r="EB183" s="314">
        <f t="shared" si="208"/>
        <v>0.1633</v>
      </c>
      <c r="EC183" s="334">
        <v>0.6</v>
      </c>
      <c r="ED183" s="334"/>
      <c r="EE183" s="334"/>
      <c r="EF183" s="334"/>
      <c r="EG183" s="388">
        <v>0.42599999999999999</v>
      </c>
      <c r="EH183" s="334">
        <v>19</v>
      </c>
      <c r="EI183" s="336">
        <v>48.636000000000003</v>
      </c>
      <c r="EJ183" s="334"/>
      <c r="EK183" s="344"/>
      <c r="EL183" s="344"/>
      <c r="EM183" s="344"/>
      <c r="EN183" s="344"/>
      <c r="EO183" s="344"/>
      <c r="EP183" s="344"/>
      <c r="EQ183" s="334"/>
      <c r="ER183" s="334"/>
      <c r="ES183" s="337"/>
      <c r="ET183" s="337"/>
      <c r="EU183" s="337"/>
      <c r="EV183" s="337"/>
      <c r="EW183" s="337"/>
      <c r="EX183" s="337"/>
      <c r="EY183" s="337"/>
      <c r="EZ183" s="337"/>
      <c r="FA183" s="337"/>
      <c r="FB183" s="337"/>
      <c r="FC183" s="337"/>
      <c r="FD183" s="337"/>
      <c r="FE183" s="334"/>
      <c r="FF183" s="334"/>
      <c r="FG183" s="334"/>
      <c r="FH183" s="334"/>
      <c r="FI183" s="334">
        <v>55.05</v>
      </c>
      <c r="FJ183" s="334">
        <v>7.34</v>
      </c>
      <c r="FK183" s="334">
        <v>0.94833000000000001</v>
      </c>
      <c r="FL183" s="334"/>
      <c r="FM183" s="335">
        <f t="shared" si="134"/>
        <v>0.61388467374810307</v>
      </c>
      <c r="FN183" s="335">
        <f t="shared" si="135"/>
        <v>0.59730307628638424</v>
      </c>
      <c r="FO183" s="338">
        <f t="shared" si="136"/>
        <v>1.0277607769322263</v>
      </c>
      <c r="FP183" s="338">
        <f t="shared" si="137"/>
        <v>0.19332321699544763</v>
      </c>
      <c r="FQ183" s="339">
        <f t="shared" si="138"/>
        <v>6.3337702053298375E-2</v>
      </c>
    </row>
    <row r="184" spans="2:173" s="113" customFormat="1" ht="14" x14ac:dyDescent="0.15">
      <c r="B184" s="183" t="s">
        <v>432</v>
      </c>
      <c r="C184" s="293"/>
      <c r="D184" s="321">
        <v>1884</v>
      </c>
      <c r="E184" s="321">
        <v>1814</v>
      </c>
      <c r="F184" s="321">
        <v>1241</v>
      </c>
      <c r="G184" s="289"/>
      <c r="H184" s="323">
        <v>93.89</v>
      </c>
      <c r="I184" s="323">
        <v>51.36</v>
      </c>
      <c r="J184" s="324">
        <v>1.33</v>
      </c>
      <c r="K184" s="324">
        <v>16.07</v>
      </c>
      <c r="L184" s="293"/>
      <c r="M184" s="329">
        <v>13.68</v>
      </c>
      <c r="N184" s="293"/>
      <c r="O184" s="293"/>
      <c r="P184" s="293"/>
      <c r="Q184" s="293"/>
      <c r="R184" s="293"/>
      <c r="S184" s="293"/>
      <c r="T184" s="293"/>
      <c r="U184" s="293"/>
      <c r="V184" s="293"/>
      <c r="W184" s="293"/>
      <c r="X184" s="293"/>
      <c r="Y184" s="293"/>
      <c r="Z184" s="293"/>
      <c r="AA184" s="293"/>
      <c r="AB184" s="329"/>
      <c r="AC184" s="329"/>
      <c r="AD184" s="329"/>
      <c r="AE184" s="293"/>
      <c r="AF184" s="325">
        <v>3.73</v>
      </c>
      <c r="AG184" s="325">
        <v>1.29</v>
      </c>
      <c r="AH184" s="290">
        <v>2.04</v>
      </c>
      <c r="AI184" s="290">
        <v>3.61</v>
      </c>
      <c r="AJ184" s="290">
        <v>3.02</v>
      </c>
      <c r="AK184" s="290">
        <v>0.89</v>
      </c>
      <c r="AL184" s="291">
        <v>2.44</v>
      </c>
      <c r="AM184" s="290">
        <v>2.04</v>
      </c>
      <c r="AN184" s="290">
        <v>0.44</v>
      </c>
      <c r="AO184" s="290">
        <v>2.52</v>
      </c>
      <c r="AP184" s="290">
        <v>3.21</v>
      </c>
      <c r="AQ184" s="290">
        <v>4.09</v>
      </c>
      <c r="AR184" s="290">
        <v>0.99</v>
      </c>
      <c r="AS184" s="290">
        <v>6.89</v>
      </c>
      <c r="AT184" s="290"/>
      <c r="AU184" s="290">
        <v>3.73</v>
      </c>
      <c r="AV184" s="290">
        <v>2.5299999999999998</v>
      </c>
      <c r="AW184" s="325">
        <v>1.74</v>
      </c>
      <c r="AX184" s="293"/>
      <c r="AY184" s="292"/>
      <c r="AZ184" s="292">
        <v>86</v>
      </c>
      <c r="BA184" s="292">
        <v>75</v>
      </c>
      <c r="BB184" s="287">
        <v>80</v>
      </c>
      <c r="BC184" s="287">
        <v>79.7</v>
      </c>
      <c r="BD184" s="287">
        <v>77.099999999999994</v>
      </c>
      <c r="BE184" s="288">
        <v>84.2</v>
      </c>
      <c r="BF184" s="287">
        <v>75.599999999999994</v>
      </c>
      <c r="BG184" s="287">
        <v>76.099999999999994</v>
      </c>
      <c r="BH184" s="287">
        <v>91.2</v>
      </c>
      <c r="BI184" s="287">
        <v>74.5</v>
      </c>
      <c r="BJ184" s="287">
        <v>80.2</v>
      </c>
      <c r="BK184" s="287">
        <v>66.599999999999994</v>
      </c>
      <c r="BL184" s="288">
        <v>48.9</v>
      </c>
      <c r="BM184" s="288">
        <v>68.8</v>
      </c>
      <c r="BN184" s="288">
        <v>71.099999999999994</v>
      </c>
      <c r="BO184" s="288">
        <v>79.599999999999994</v>
      </c>
      <c r="BP184" s="288">
        <v>75.900000000000006</v>
      </c>
      <c r="BQ184" s="292">
        <v>78.3</v>
      </c>
      <c r="BR184" s="293"/>
      <c r="BS184" s="290">
        <v>3.14</v>
      </c>
      <c r="BT184" s="291"/>
      <c r="BU184" s="291">
        <v>0.98</v>
      </c>
      <c r="BV184" s="291">
        <v>0.16</v>
      </c>
      <c r="BW184" s="291">
        <v>1.42</v>
      </c>
      <c r="BX184" s="290">
        <v>1.78</v>
      </c>
      <c r="BY184" s="325"/>
      <c r="BZ184" s="293"/>
      <c r="CA184" s="327"/>
      <c r="CB184" s="327">
        <v>79.099999999999994</v>
      </c>
      <c r="CC184" s="327">
        <v>80.599999999999994</v>
      </c>
      <c r="CD184" s="327"/>
      <c r="CE184" s="327"/>
      <c r="CF184" s="327"/>
      <c r="CG184" s="327"/>
      <c r="CH184" s="329"/>
      <c r="CI184" s="325"/>
      <c r="CJ184" s="325"/>
      <c r="CK184" s="325"/>
      <c r="CL184" s="325"/>
      <c r="CM184" s="325"/>
      <c r="CN184" s="325"/>
      <c r="CO184" s="325"/>
      <c r="CP184" s="325"/>
      <c r="CQ184" s="325"/>
      <c r="CR184" s="325"/>
      <c r="CS184" s="325"/>
      <c r="CT184" s="325"/>
      <c r="CU184" s="293"/>
      <c r="CV184" s="330"/>
      <c r="CW184" s="331">
        <f t="shared" si="114"/>
        <v>3.2077999999999998</v>
      </c>
      <c r="CX184" s="331">
        <f t="shared" si="200"/>
        <v>0.96750000000000003</v>
      </c>
      <c r="CY184" s="331">
        <f t="shared" si="116"/>
        <v>1.6319999999999999</v>
      </c>
      <c r="CZ184" s="331">
        <f t="shared" si="117"/>
        <v>2.87717</v>
      </c>
      <c r="DA184" s="331">
        <f t="shared" si="118"/>
        <v>2.3284199999999999</v>
      </c>
      <c r="DB184" s="331">
        <f t="shared" si="119"/>
        <v>0.74938000000000005</v>
      </c>
      <c r="DC184" s="331">
        <f t="shared" si="139"/>
        <v>1.23349</v>
      </c>
      <c r="DD184" s="331">
        <f t="shared" si="125"/>
        <v>1.8446399999999996</v>
      </c>
      <c r="DE184" s="331">
        <f t="shared" si="156"/>
        <v>3.2070599999999994</v>
      </c>
      <c r="DF184" s="331">
        <f t="shared" si="126"/>
        <v>1.55244</v>
      </c>
      <c r="DG184" s="331">
        <f t="shared" si="127"/>
        <v>0.40128000000000003</v>
      </c>
      <c r="DH184" s="308">
        <f t="shared" si="191"/>
        <v>1.8774000000000002</v>
      </c>
      <c r="DI184" s="308">
        <f t="shared" si="192"/>
        <v>2.5744199999999999</v>
      </c>
      <c r="DJ184" s="308">
        <f t="shared" si="193"/>
        <v>2.7239399999999994</v>
      </c>
      <c r="DK184" s="308">
        <f t="shared" si="194"/>
        <v>0.48411000000000004</v>
      </c>
      <c r="DL184" s="308">
        <f t="shared" si="195"/>
        <v>4.7403199999999996</v>
      </c>
      <c r="DM184" s="308">
        <f t="shared" si="196"/>
        <v>0</v>
      </c>
      <c r="DN184" s="308">
        <f t="shared" si="197"/>
        <v>2.9690799999999995</v>
      </c>
      <c r="DO184" s="308">
        <f t="shared" si="198"/>
        <v>1.9202699999999999</v>
      </c>
      <c r="DP184" s="308">
        <f t="shared" si="199"/>
        <v>1.36242</v>
      </c>
      <c r="DQ184" s="330">
        <f t="shared" si="122"/>
        <v>1.40798</v>
      </c>
      <c r="DR184" s="330">
        <f t="shared" si="158"/>
        <v>1.43468</v>
      </c>
      <c r="DS184" s="330">
        <f t="shared" si="140"/>
        <v>0</v>
      </c>
      <c r="DT184" s="330">
        <f t="shared" si="141"/>
        <v>0</v>
      </c>
      <c r="DU184" s="289"/>
      <c r="DV184" s="332"/>
      <c r="DW184" s="311">
        <f t="shared" si="157"/>
        <v>0</v>
      </c>
      <c r="DX184" s="312"/>
      <c r="DY184" s="321"/>
      <c r="DZ184" s="321"/>
      <c r="EA184" s="333"/>
      <c r="EB184" s="314">
        <f t="shared" si="208"/>
        <v>0</v>
      </c>
      <c r="EC184" s="334"/>
      <c r="ED184" s="334"/>
      <c r="EE184" s="334"/>
      <c r="EF184" s="334"/>
      <c r="EG184" s="388"/>
      <c r="EH184" s="334"/>
      <c r="EI184" s="336"/>
      <c r="EJ184" s="334"/>
      <c r="EK184" s="341"/>
      <c r="EL184" s="341"/>
      <c r="EM184" s="341"/>
      <c r="EN184" s="341"/>
      <c r="EO184" s="341"/>
      <c r="EP184" s="341"/>
      <c r="EQ184" s="345"/>
      <c r="ER184" s="334"/>
      <c r="ES184" s="337"/>
      <c r="ET184" s="337"/>
      <c r="EU184" s="337"/>
      <c r="EV184" s="337"/>
      <c r="EW184" s="337"/>
      <c r="EX184" s="337"/>
      <c r="EY184" s="337"/>
      <c r="EZ184" s="337"/>
      <c r="FA184" s="337"/>
      <c r="FB184" s="337"/>
      <c r="FC184" s="337"/>
      <c r="FD184" s="337"/>
      <c r="FE184" s="334"/>
      <c r="FF184" s="334"/>
      <c r="FG184" s="334"/>
      <c r="FH184" s="334"/>
      <c r="FI184" s="334">
        <v>20.6</v>
      </c>
      <c r="FJ184" s="334">
        <v>1.6</v>
      </c>
      <c r="FK184" s="334">
        <v>3.5675400000000002</v>
      </c>
      <c r="FL184" s="334"/>
      <c r="FM184" s="335">
        <f t="shared" si="134"/>
        <v>0.65251618778174392</v>
      </c>
      <c r="FN184" s="335">
        <f t="shared" si="135"/>
        <v>0.5672240430701001</v>
      </c>
      <c r="FO184" s="338">
        <f t="shared" si="136"/>
        <v>1.1503676470588238</v>
      </c>
      <c r="FP184" s="338">
        <f t="shared" si="137"/>
        <v>0.13947038235488346</v>
      </c>
      <c r="FQ184" s="339">
        <f t="shared" si="138"/>
        <v>5.6019665109034271E-2</v>
      </c>
    </row>
    <row r="185" spans="2:173" s="113" customFormat="1" ht="14" x14ac:dyDescent="0.15">
      <c r="B185" s="183" t="s">
        <v>433</v>
      </c>
      <c r="C185" s="293"/>
      <c r="D185" s="321"/>
      <c r="E185" s="321">
        <v>1727</v>
      </c>
      <c r="F185" s="321">
        <v>1281</v>
      </c>
      <c r="G185" s="289"/>
      <c r="H185" s="322">
        <v>96.5</v>
      </c>
      <c r="I185" s="323">
        <v>5.7</v>
      </c>
      <c r="J185" s="324"/>
      <c r="K185" s="324">
        <v>2.6</v>
      </c>
      <c r="L185" s="293"/>
      <c r="M185" s="329">
        <v>2.02</v>
      </c>
      <c r="N185" s="293"/>
      <c r="O185" s="293"/>
      <c r="P185" s="293"/>
      <c r="Q185" s="293"/>
      <c r="R185" s="293"/>
      <c r="S185" s="293"/>
      <c r="T185" s="293"/>
      <c r="U185" s="329">
        <v>3.22</v>
      </c>
      <c r="V185" s="293"/>
      <c r="W185" s="293"/>
      <c r="X185" s="293"/>
      <c r="Y185" s="293"/>
      <c r="Z185" s="293"/>
      <c r="AA185" s="293"/>
      <c r="AB185" s="329"/>
      <c r="AC185" s="329"/>
      <c r="AD185" s="329"/>
      <c r="AE185" s="293"/>
      <c r="AF185" s="325"/>
      <c r="AG185" s="325">
        <v>0.17</v>
      </c>
      <c r="AH185" s="290">
        <v>0.17</v>
      </c>
      <c r="AI185" s="290">
        <v>0.35</v>
      </c>
      <c r="AJ185" s="290">
        <v>0.21</v>
      </c>
      <c r="AK185" s="290">
        <v>7.0000000000000007E-2</v>
      </c>
      <c r="AL185" s="291"/>
      <c r="AM185" s="290">
        <v>0.18</v>
      </c>
      <c r="AN185" s="290">
        <v>0.06</v>
      </c>
      <c r="AO185" s="290">
        <v>0.25</v>
      </c>
      <c r="AP185" s="290"/>
      <c r="AQ185" s="290"/>
      <c r="AR185" s="290">
        <v>0.1</v>
      </c>
      <c r="AS185" s="290"/>
      <c r="AT185" s="290"/>
      <c r="AU185" s="290"/>
      <c r="AV185" s="290"/>
      <c r="AW185" s="325"/>
      <c r="AX185" s="293"/>
      <c r="AY185" s="292"/>
      <c r="AZ185" s="292"/>
      <c r="BA185" s="292">
        <v>87</v>
      </c>
      <c r="BB185" s="287">
        <v>86</v>
      </c>
      <c r="BC185" s="287">
        <v>87</v>
      </c>
      <c r="BD185" s="287">
        <v>78</v>
      </c>
      <c r="BE185" s="288">
        <v>87</v>
      </c>
      <c r="BF185" s="287"/>
      <c r="BG185" s="287">
        <v>81</v>
      </c>
      <c r="BH185" s="287">
        <v>84</v>
      </c>
      <c r="BI185" s="287">
        <v>85</v>
      </c>
      <c r="BJ185" s="287"/>
      <c r="BK185" s="287"/>
      <c r="BL185" s="288">
        <v>85</v>
      </c>
      <c r="BM185" s="288"/>
      <c r="BN185" s="288"/>
      <c r="BO185" s="288"/>
      <c r="BP185" s="288"/>
      <c r="BQ185" s="292"/>
      <c r="BR185" s="293"/>
      <c r="BS185" s="290">
        <v>0.17</v>
      </c>
      <c r="BT185" s="291"/>
      <c r="BU185" s="291">
        <v>0.24</v>
      </c>
      <c r="BV185" s="291"/>
      <c r="BW185" s="291">
        <v>0.43</v>
      </c>
      <c r="BX185" s="290">
        <v>0.19</v>
      </c>
      <c r="BY185" s="325">
        <v>7.0000000000000007E-2</v>
      </c>
      <c r="BZ185" s="293"/>
      <c r="CA185" s="327"/>
      <c r="CB185" s="327"/>
      <c r="CC185" s="327"/>
      <c r="CD185" s="327"/>
      <c r="CE185" s="327"/>
      <c r="CF185" s="327"/>
      <c r="CG185" s="327"/>
      <c r="CH185" s="329"/>
      <c r="CI185" s="325"/>
      <c r="CJ185" s="325"/>
      <c r="CK185" s="325"/>
      <c r="CL185" s="325"/>
      <c r="CM185" s="325"/>
      <c r="CN185" s="325"/>
      <c r="CO185" s="325"/>
      <c r="CP185" s="325"/>
      <c r="CQ185" s="325"/>
      <c r="CR185" s="325"/>
      <c r="CS185" s="325"/>
      <c r="CT185" s="325"/>
      <c r="CU185" s="293"/>
      <c r="CV185" s="330"/>
      <c r="CW185" s="331">
        <f t="shared" si="114"/>
        <v>0</v>
      </c>
      <c r="CX185" s="331">
        <f t="shared" si="200"/>
        <v>0.1479</v>
      </c>
      <c r="CY185" s="331">
        <f t="shared" si="116"/>
        <v>0.1462</v>
      </c>
      <c r="CZ185" s="331">
        <f t="shared" si="117"/>
        <v>0.30449999999999999</v>
      </c>
      <c r="DA185" s="331">
        <f t="shared" si="118"/>
        <v>0.1638</v>
      </c>
      <c r="DB185" s="331">
        <f t="shared" si="119"/>
        <v>6.090000000000001E-2</v>
      </c>
      <c r="DC185" s="331">
        <f t="shared" si="139"/>
        <v>0.1459</v>
      </c>
      <c r="DD185" s="331">
        <f t="shared" si="125"/>
        <v>0</v>
      </c>
      <c r="DE185" s="331">
        <f t="shared" si="156"/>
        <v>0</v>
      </c>
      <c r="DF185" s="331">
        <f t="shared" si="126"/>
        <v>0.14580000000000001</v>
      </c>
      <c r="DG185" s="331">
        <f t="shared" si="127"/>
        <v>5.04E-2</v>
      </c>
      <c r="DH185" s="308">
        <f t="shared" si="191"/>
        <v>0.21249999999999999</v>
      </c>
      <c r="DI185" s="308">
        <f t="shared" si="192"/>
        <v>0</v>
      </c>
      <c r="DJ185" s="308">
        <f t="shared" si="193"/>
        <v>0</v>
      </c>
      <c r="DK185" s="308">
        <f t="shared" si="194"/>
        <v>8.5000000000000006E-2</v>
      </c>
      <c r="DL185" s="308">
        <f t="shared" si="195"/>
        <v>0</v>
      </c>
      <c r="DM185" s="308">
        <f t="shared" si="196"/>
        <v>0</v>
      </c>
      <c r="DN185" s="308">
        <f t="shared" si="197"/>
        <v>0</v>
      </c>
      <c r="DO185" s="308">
        <f t="shared" si="198"/>
        <v>0</v>
      </c>
      <c r="DP185" s="308">
        <f t="shared" si="199"/>
        <v>0</v>
      </c>
      <c r="DQ185" s="330">
        <f t="shared" ref="DQ185:DQ207" si="209">CB185*BX185/100</f>
        <v>0</v>
      </c>
      <c r="DR185" s="330">
        <f t="shared" ref="DR185:DR207" si="210">CC185*BX185/100</f>
        <v>0</v>
      </c>
      <c r="DS185" s="330">
        <f t="shared" ref="DS185:DS207" si="211">BS185*CD185/100</f>
        <v>0</v>
      </c>
      <c r="DT185" s="330">
        <f t="shared" ref="DT185:DT207" si="212">BS185*CE185/100</f>
        <v>0</v>
      </c>
      <c r="DU185" s="289"/>
      <c r="DV185" s="332"/>
      <c r="DW185" s="311">
        <f t="shared" si="157"/>
        <v>0</v>
      </c>
      <c r="DX185" s="312"/>
      <c r="DY185" s="321"/>
      <c r="DZ185" s="321"/>
      <c r="EA185" s="333"/>
      <c r="EB185" s="314">
        <v>0.06</v>
      </c>
      <c r="EC185" s="334"/>
      <c r="ED185" s="334"/>
      <c r="EE185" s="334"/>
      <c r="EF185" s="334"/>
      <c r="EG185" s="388"/>
      <c r="EH185" s="334"/>
      <c r="EI185" s="336"/>
      <c r="EJ185" s="334"/>
      <c r="EK185" s="341"/>
      <c r="EL185" s="341"/>
      <c r="EM185" s="341"/>
      <c r="EN185" s="341"/>
      <c r="EO185" s="341"/>
      <c r="EP185" s="341"/>
      <c r="EQ185" s="345"/>
      <c r="ER185" s="334"/>
      <c r="ES185" s="337"/>
      <c r="ET185" s="337"/>
      <c r="EU185" s="337"/>
      <c r="EV185" s="337"/>
      <c r="EW185" s="337"/>
      <c r="EX185" s="337"/>
      <c r="EY185" s="337"/>
      <c r="EZ185" s="337"/>
      <c r="FA185" s="337"/>
      <c r="FB185" s="337"/>
      <c r="FC185" s="337"/>
      <c r="FD185" s="337"/>
      <c r="FE185" s="334"/>
      <c r="FF185" s="334"/>
      <c r="FG185" s="334"/>
      <c r="FH185" s="334"/>
      <c r="FI185" s="334"/>
      <c r="FJ185" s="334"/>
      <c r="FK185" s="334"/>
      <c r="FL185" s="334"/>
      <c r="FM185" s="335">
        <f t="shared" si="134"/>
        <v>0.69786535303776687</v>
      </c>
      <c r="FN185" s="335">
        <f t="shared" si="135"/>
        <v>0.48013136288998359</v>
      </c>
      <c r="FO185" s="338">
        <f t="shared" si="136"/>
        <v>1.4534883720930232</v>
      </c>
      <c r="FP185" s="338">
        <f t="shared" si="137"/>
        <v>0.16551724137931034</v>
      </c>
      <c r="FQ185" s="339">
        <f t="shared" si="138"/>
        <v>5.3421052631578946E-2</v>
      </c>
    </row>
    <row r="186" spans="2:173" s="113" customFormat="1" ht="14" x14ac:dyDescent="0.15">
      <c r="B186" s="183" t="s">
        <v>434</v>
      </c>
      <c r="C186" s="293"/>
      <c r="D186" s="321"/>
      <c r="E186" s="321">
        <v>1938</v>
      </c>
      <c r="F186" s="321"/>
      <c r="G186" s="289"/>
      <c r="H186" s="322"/>
      <c r="I186" s="323">
        <v>48.5</v>
      </c>
      <c r="J186" s="324"/>
      <c r="K186" s="324">
        <v>11.5</v>
      </c>
      <c r="L186" s="293"/>
      <c r="M186" s="293">
        <v>6</v>
      </c>
      <c r="N186" s="293"/>
      <c r="O186" s="293"/>
      <c r="P186" s="293"/>
      <c r="Q186" s="293"/>
      <c r="R186" s="293"/>
      <c r="S186" s="293"/>
      <c r="T186" s="293"/>
      <c r="U186" s="293"/>
      <c r="V186" s="293"/>
      <c r="W186" s="293"/>
      <c r="X186" s="293"/>
      <c r="Y186" s="293"/>
      <c r="Z186" s="293"/>
      <c r="AA186" s="293"/>
      <c r="AB186" s="329"/>
      <c r="AC186" s="329"/>
      <c r="AD186" s="329"/>
      <c r="AE186" s="293"/>
      <c r="AF186" s="325"/>
      <c r="AG186" s="325">
        <v>1.19</v>
      </c>
      <c r="AH186" s="290">
        <v>2.27</v>
      </c>
      <c r="AI186" s="290">
        <v>4.6900000000000004</v>
      </c>
      <c r="AJ186" s="290">
        <v>3.98</v>
      </c>
      <c r="AK186" s="290">
        <v>0.83</v>
      </c>
      <c r="AL186" s="291"/>
      <c r="AM186" s="290">
        <v>2.93</v>
      </c>
      <c r="AN186" s="290">
        <v>0.84</v>
      </c>
      <c r="AO186" s="290">
        <v>2.64</v>
      </c>
      <c r="AP186" s="290"/>
      <c r="AQ186" s="290"/>
      <c r="AR186" s="290">
        <v>0.9</v>
      </c>
      <c r="AS186" s="290"/>
      <c r="AT186" s="290"/>
      <c r="AU186" s="290"/>
      <c r="AV186" s="290"/>
      <c r="AW186" s="325"/>
      <c r="AX186" s="293"/>
      <c r="AY186" s="292"/>
      <c r="AZ186" s="292"/>
      <c r="BA186" s="292">
        <v>91.6</v>
      </c>
      <c r="BB186" s="287">
        <v>94.7</v>
      </c>
      <c r="BC186" s="287">
        <v>94.9</v>
      </c>
      <c r="BD186" s="287">
        <v>92.7</v>
      </c>
      <c r="BE186" s="288">
        <v>95.2</v>
      </c>
      <c r="BF186" s="287"/>
      <c r="BG186" s="287">
        <v>85</v>
      </c>
      <c r="BH186" s="287">
        <v>95.2</v>
      </c>
      <c r="BI186" s="287">
        <v>95.1</v>
      </c>
      <c r="BJ186" s="287"/>
      <c r="BK186" s="287"/>
      <c r="BL186" s="288">
        <v>85.6</v>
      </c>
      <c r="BM186" s="288"/>
      <c r="BN186" s="288"/>
      <c r="BO186" s="288"/>
      <c r="BP186" s="288"/>
      <c r="BQ186" s="292"/>
      <c r="BR186" s="293"/>
      <c r="BS186" s="290">
        <v>0.74</v>
      </c>
      <c r="BT186" s="291"/>
      <c r="BU186" s="291">
        <v>0.85</v>
      </c>
      <c r="BV186" s="291">
        <v>0.06</v>
      </c>
      <c r="BW186" s="291">
        <v>0.28000000000000003</v>
      </c>
      <c r="BX186" s="290">
        <v>0.74</v>
      </c>
      <c r="BY186" s="325"/>
      <c r="BZ186" s="293"/>
      <c r="CA186" s="327"/>
      <c r="CB186" s="327"/>
      <c r="CC186" s="327">
        <v>0.59</v>
      </c>
      <c r="CD186" s="327"/>
      <c r="CE186" s="327"/>
      <c r="CF186" s="327"/>
      <c r="CG186" s="327"/>
      <c r="CH186" s="329"/>
      <c r="CI186" s="325"/>
      <c r="CJ186" s="325"/>
      <c r="CK186" s="325"/>
      <c r="CL186" s="325"/>
      <c r="CM186" s="325"/>
      <c r="CN186" s="325"/>
      <c r="CO186" s="325"/>
      <c r="CP186" s="325"/>
      <c r="CQ186" s="325"/>
      <c r="CR186" s="325"/>
      <c r="CS186" s="325"/>
      <c r="CT186" s="325"/>
      <c r="CU186" s="293"/>
      <c r="CV186" s="330"/>
      <c r="CW186" s="331">
        <f t="shared" si="114"/>
        <v>0</v>
      </c>
      <c r="CX186" s="331">
        <f t="shared" si="200"/>
        <v>1.0900399999999999</v>
      </c>
      <c r="CY186" s="331">
        <f t="shared" si="116"/>
        <v>2.1496900000000001</v>
      </c>
      <c r="CZ186" s="331">
        <f t="shared" si="117"/>
        <v>4.4508100000000006</v>
      </c>
      <c r="DA186" s="331">
        <f t="shared" si="118"/>
        <v>3.6894600000000004</v>
      </c>
      <c r="DB186" s="331">
        <f t="shared" si="119"/>
        <v>0.79016000000000008</v>
      </c>
      <c r="DC186" s="331">
        <f t="shared" si="139"/>
        <v>1.5605599999999997</v>
      </c>
      <c r="DD186" s="331">
        <f t="shared" si="125"/>
        <v>0</v>
      </c>
      <c r="DE186" s="331">
        <f t="shared" si="156"/>
        <v>0</v>
      </c>
      <c r="DF186" s="331">
        <f t="shared" si="126"/>
        <v>2.4904999999999999</v>
      </c>
      <c r="DG186" s="331">
        <f t="shared" si="127"/>
        <v>0.79968000000000006</v>
      </c>
      <c r="DH186" s="308">
        <f t="shared" si="191"/>
        <v>2.51064</v>
      </c>
      <c r="DI186" s="308">
        <f t="shared" si="192"/>
        <v>0</v>
      </c>
      <c r="DJ186" s="308">
        <f t="shared" si="193"/>
        <v>0</v>
      </c>
      <c r="DK186" s="308">
        <f t="shared" si="194"/>
        <v>0.77039999999999997</v>
      </c>
      <c r="DL186" s="308">
        <f t="shared" si="195"/>
        <v>0</v>
      </c>
      <c r="DM186" s="308">
        <f t="shared" si="196"/>
        <v>0</v>
      </c>
      <c r="DN186" s="308">
        <f t="shared" si="197"/>
        <v>0</v>
      </c>
      <c r="DO186" s="308">
        <f t="shared" si="198"/>
        <v>0</v>
      </c>
      <c r="DP186" s="308">
        <f t="shared" si="199"/>
        <v>0</v>
      </c>
      <c r="DQ186" s="330">
        <f t="shared" si="209"/>
        <v>0</v>
      </c>
      <c r="DR186" s="330">
        <f t="shared" si="210"/>
        <v>4.3660000000000001E-3</v>
      </c>
      <c r="DS186" s="330">
        <f t="shared" si="211"/>
        <v>0</v>
      </c>
      <c r="DT186" s="330">
        <f t="shared" si="212"/>
        <v>0</v>
      </c>
      <c r="DU186" s="289"/>
      <c r="DV186" s="332"/>
      <c r="DW186" s="311">
        <f t="shared" si="157"/>
        <v>0</v>
      </c>
      <c r="DX186" s="312"/>
      <c r="DY186" s="321"/>
      <c r="DZ186" s="321"/>
      <c r="EA186" s="333"/>
      <c r="EB186" s="314">
        <f t="shared" ref="EB186:EB215" si="213">BX186*EA186</f>
        <v>0</v>
      </c>
      <c r="EC186" s="334"/>
      <c r="ED186" s="334"/>
      <c r="EE186" s="334"/>
      <c r="EF186" s="334"/>
      <c r="EG186" s="388"/>
      <c r="EH186" s="334"/>
      <c r="EI186" s="336"/>
      <c r="EJ186" s="334"/>
      <c r="EK186" s="341"/>
      <c r="EL186" s="341"/>
      <c r="EM186" s="341"/>
      <c r="EN186" s="341"/>
      <c r="EO186" s="341"/>
      <c r="EP186" s="341"/>
      <c r="EQ186" s="345"/>
      <c r="ER186" s="334"/>
      <c r="ES186" s="337"/>
      <c r="ET186" s="337"/>
      <c r="EU186" s="337"/>
      <c r="EV186" s="337"/>
      <c r="EW186" s="337"/>
      <c r="EX186" s="337"/>
      <c r="EY186" s="337"/>
      <c r="EZ186" s="337"/>
      <c r="FA186" s="337"/>
      <c r="FB186" s="337"/>
      <c r="FC186" s="337"/>
      <c r="FD186" s="337"/>
      <c r="FE186" s="334"/>
      <c r="FF186" s="334"/>
      <c r="FG186" s="334"/>
      <c r="FH186" s="334"/>
      <c r="FI186" s="334"/>
      <c r="FJ186" s="334"/>
      <c r="FK186" s="334"/>
      <c r="FL186" s="334"/>
      <c r="FM186" s="335">
        <f t="shared" si="134"/>
        <v>0.5640860877008903</v>
      </c>
      <c r="FN186" s="335">
        <f t="shared" si="135"/>
        <v>0.48298848973557618</v>
      </c>
      <c r="FO186" s="338">
        <f t="shared" si="136"/>
        <v>1.1679079309109686</v>
      </c>
      <c r="FP186" s="338">
        <f t="shared" si="137"/>
        <v>0.17967066668763662</v>
      </c>
      <c r="FQ186" s="339">
        <f t="shared" si="138"/>
        <v>9.1769278350515474E-2</v>
      </c>
    </row>
    <row r="187" spans="2:173" ht="14" x14ac:dyDescent="0.15">
      <c r="B187" s="96" t="s">
        <v>435</v>
      </c>
      <c r="C187" s="157"/>
      <c r="D187" s="346"/>
      <c r="E187" s="346"/>
      <c r="F187" s="346"/>
      <c r="G187" s="295"/>
      <c r="H187" s="295"/>
      <c r="I187" s="347"/>
      <c r="J187" s="315"/>
      <c r="K187" s="315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57"/>
      <c r="Z187" s="157"/>
      <c r="AA187" s="157"/>
      <c r="AB187" s="307"/>
      <c r="AC187" s="307"/>
      <c r="AD187" s="307"/>
      <c r="AE187" s="157"/>
      <c r="AF187" s="348"/>
      <c r="AG187" s="348"/>
      <c r="AH187" s="303"/>
      <c r="AI187" s="303"/>
      <c r="AJ187" s="303"/>
      <c r="AK187" s="303"/>
      <c r="AL187" s="349"/>
      <c r="AM187" s="303"/>
      <c r="AN187" s="303"/>
      <c r="AO187" s="303"/>
      <c r="AP187" s="303"/>
      <c r="AQ187" s="303"/>
      <c r="AR187" s="303"/>
      <c r="AS187" s="303"/>
      <c r="AT187" s="303"/>
      <c r="AU187" s="303"/>
      <c r="AV187" s="303"/>
      <c r="AW187" s="348"/>
      <c r="AX187" s="157"/>
      <c r="AY187" s="350"/>
      <c r="AZ187" s="350"/>
      <c r="BA187" s="350"/>
      <c r="BB187" s="351"/>
      <c r="BC187" s="351"/>
      <c r="BD187" s="351"/>
      <c r="BE187" s="351"/>
      <c r="BF187" s="300"/>
      <c r="BG187" s="351"/>
      <c r="BH187" s="351"/>
      <c r="BI187" s="351"/>
      <c r="BJ187" s="351"/>
      <c r="BK187" s="351"/>
      <c r="BL187" s="351"/>
      <c r="BM187" s="351"/>
      <c r="BN187" s="351"/>
      <c r="BO187" s="351"/>
      <c r="BP187" s="351"/>
      <c r="BQ187" s="350"/>
      <c r="BR187" s="157"/>
      <c r="BS187" s="303"/>
      <c r="BT187" s="303"/>
      <c r="BU187" s="303"/>
      <c r="BV187" s="303"/>
      <c r="BW187" s="303"/>
      <c r="BX187" s="303"/>
      <c r="BY187" s="304"/>
      <c r="BZ187" s="157"/>
      <c r="CA187" s="305"/>
      <c r="CB187" s="305"/>
      <c r="CC187" s="305"/>
      <c r="CD187" s="305"/>
      <c r="CE187" s="305"/>
      <c r="CF187" s="305"/>
      <c r="CG187" s="305"/>
      <c r="CH187" s="307"/>
      <c r="CI187" s="304"/>
      <c r="CJ187" s="304"/>
      <c r="CK187" s="304"/>
      <c r="CL187" s="304"/>
      <c r="CM187" s="304"/>
      <c r="CN187" s="304"/>
      <c r="CO187" s="304"/>
      <c r="CP187" s="304"/>
      <c r="CQ187" s="304"/>
      <c r="CR187" s="304"/>
      <c r="CS187" s="304"/>
      <c r="CT187" s="304"/>
      <c r="CU187" s="157"/>
      <c r="CV187" s="308"/>
      <c r="CW187" s="309">
        <f t="shared" si="114"/>
        <v>0</v>
      </c>
      <c r="CX187" s="309">
        <f t="shared" si="200"/>
        <v>0</v>
      </c>
      <c r="CY187" s="309">
        <f t="shared" si="116"/>
        <v>0</v>
      </c>
      <c r="CZ187" s="309">
        <f t="shared" si="117"/>
        <v>0</v>
      </c>
      <c r="DA187" s="309">
        <f t="shared" si="118"/>
        <v>0</v>
      </c>
      <c r="DB187" s="309">
        <f t="shared" si="119"/>
        <v>0</v>
      </c>
      <c r="DC187" s="309">
        <f t="shared" si="139"/>
        <v>0</v>
      </c>
      <c r="DD187" s="309">
        <f t="shared" si="125"/>
        <v>0</v>
      </c>
      <c r="DE187" s="309">
        <f t="shared" si="156"/>
        <v>0</v>
      </c>
      <c r="DF187" s="309">
        <f t="shared" si="126"/>
        <v>0</v>
      </c>
      <c r="DG187" s="309">
        <f t="shared" si="127"/>
        <v>0</v>
      </c>
      <c r="DH187" s="308">
        <f t="shared" si="191"/>
        <v>0</v>
      </c>
      <c r="DI187" s="308">
        <f t="shared" si="192"/>
        <v>0</v>
      </c>
      <c r="DJ187" s="308">
        <f t="shared" si="193"/>
        <v>0</v>
      </c>
      <c r="DK187" s="308">
        <f t="shared" si="194"/>
        <v>0</v>
      </c>
      <c r="DL187" s="308">
        <f t="shared" si="195"/>
        <v>0</v>
      </c>
      <c r="DM187" s="308">
        <f t="shared" si="196"/>
        <v>0</v>
      </c>
      <c r="DN187" s="308">
        <f t="shared" si="197"/>
        <v>0</v>
      </c>
      <c r="DO187" s="308">
        <f t="shared" si="198"/>
        <v>0</v>
      </c>
      <c r="DP187" s="308">
        <f t="shared" si="199"/>
        <v>0</v>
      </c>
      <c r="DQ187" s="330">
        <f t="shared" si="209"/>
        <v>0</v>
      </c>
      <c r="DR187" s="330">
        <f t="shared" si="210"/>
        <v>0</v>
      </c>
      <c r="DS187" s="330">
        <f t="shared" si="211"/>
        <v>0</v>
      </c>
      <c r="DT187" s="330">
        <f t="shared" si="212"/>
        <v>0</v>
      </c>
      <c r="DU187" s="295"/>
      <c r="DV187" s="295"/>
      <c r="DW187" s="311">
        <f t="shared" si="157"/>
        <v>0</v>
      </c>
      <c r="DX187" s="312">
        <v>0</v>
      </c>
      <c r="DY187" s="346"/>
      <c r="DZ187" s="346"/>
      <c r="EA187" s="313"/>
      <c r="EB187" s="314">
        <f t="shared" si="213"/>
        <v>0</v>
      </c>
      <c r="EC187" s="315"/>
      <c r="ED187" s="315"/>
      <c r="EE187" s="315">
        <v>195546.72</v>
      </c>
      <c r="EF187" s="315"/>
      <c r="EG187" s="387"/>
      <c r="EH187" s="315"/>
      <c r="EI187" s="317" t="str">
        <f>IF(AR187="","",AR187*BL187)</f>
        <v/>
      </c>
      <c r="EJ187" s="315"/>
      <c r="EK187" s="352"/>
      <c r="EL187" s="352">
        <v>0.04</v>
      </c>
      <c r="EM187" s="352"/>
      <c r="EN187" s="352">
        <v>0.01</v>
      </c>
      <c r="EO187" s="352">
        <v>2.5999999999999998E-4</v>
      </c>
      <c r="EP187" s="352">
        <v>1.8000000000000001E-4</v>
      </c>
      <c r="EQ187" s="353"/>
      <c r="ER187" s="315"/>
      <c r="ES187" s="318">
        <v>1920227</v>
      </c>
      <c r="ET187" s="318">
        <v>45500</v>
      </c>
      <c r="EU187" s="318">
        <v>13608</v>
      </c>
      <c r="EV187" s="318">
        <v>600</v>
      </c>
      <c r="EW187" s="318">
        <v>6.75</v>
      </c>
      <c r="EX187" s="318">
        <v>6653</v>
      </c>
      <c r="EY187" s="318">
        <v>6500</v>
      </c>
      <c r="EZ187" s="318">
        <v>200</v>
      </c>
      <c r="FA187" s="318"/>
      <c r="FB187" s="318"/>
      <c r="FC187" s="318"/>
      <c r="FD187" s="318"/>
      <c r="FE187" s="315"/>
      <c r="FF187" s="315"/>
      <c r="FG187" s="315"/>
      <c r="FH187" s="315"/>
      <c r="FI187" s="315"/>
      <c r="FJ187" s="315"/>
      <c r="FK187" s="315"/>
      <c r="FL187" s="315"/>
      <c r="FM187" s="335" t="e">
        <f t="shared" si="134"/>
        <v>#DIV/0!</v>
      </c>
      <c r="FN187" s="335" t="e">
        <f t="shared" si="135"/>
        <v>#DIV/0!</v>
      </c>
      <c r="FO187" s="338" t="e">
        <f t="shared" si="136"/>
        <v>#DIV/0!</v>
      </c>
      <c r="FP187" s="338" t="e">
        <f t="shared" si="137"/>
        <v>#DIV/0!</v>
      </c>
      <c r="FQ187" s="339" t="e">
        <f t="shared" si="138"/>
        <v>#DIV/0!</v>
      </c>
    </row>
    <row r="188" spans="2:173" ht="14" x14ac:dyDescent="0.15">
      <c r="B188" s="182" t="s">
        <v>436</v>
      </c>
      <c r="C188" s="157"/>
      <c r="D188" s="295"/>
      <c r="E188" s="295"/>
      <c r="F188" s="295"/>
      <c r="G188" s="295"/>
      <c r="H188" s="295"/>
      <c r="I188" s="295"/>
      <c r="J188" s="295"/>
      <c r="K188" s="295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57"/>
      <c r="Z188" s="157"/>
      <c r="AA188" s="157"/>
      <c r="AB188" s="307"/>
      <c r="AC188" s="307"/>
      <c r="AD188" s="307"/>
      <c r="AE188" s="157"/>
      <c r="AF188" s="348"/>
      <c r="AG188" s="348"/>
      <c r="AH188" s="349"/>
      <c r="AI188" s="349"/>
      <c r="AJ188" s="349"/>
      <c r="AK188" s="349"/>
      <c r="AL188" s="349"/>
      <c r="AM188" s="349"/>
      <c r="AN188" s="349"/>
      <c r="AO188" s="349"/>
      <c r="AP188" s="349"/>
      <c r="AQ188" s="349"/>
      <c r="AR188" s="349"/>
      <c r="AS188" s="348"/>
      <c r="AT188" s="348"/>
      <c r="AU188" s="348"/>
      <c r="AV188" s="348"/>
      <c r="AW188" s="348"/>
      <c r="AX188" s="157"/>
      <c r="AY188" s="350"/>
      <c r="AZ188" s="350"/>
      <c r="BA188" s="350"/>
      <c r="BB188" s="300"/>
      <c r="BC188" s="300"/>
      <c r="BD188" s="300"/>
      <c r="BE188" s="300"/>
      <c r="BF188" s="300"/>
      <c r="BG188" s="300"/>
      <c r="BH188" s="300"/>
      <c r="BI188" s="300"/>
      <c r="BJ188" s="300"/>
      <c r="BK188" s="300"/>
      <c r="BL188" s="300"/>
      <c r="BM188" s="350"/>
      <c r="BN188" s="350"/>
      <c r="BO188" s="350"/>
      <c r="BP188" s="350"/>
      <c r="BQ188" s="350"/>
      <c r="BR188" s="157"/>
      <c r="BS188" s="303"/>
      <c r="BT188" s="303"/>
      <c r="BU188" s="303"/>
      <c r="BV188" s="303"/>
      <c r="BW188" s="303"/>
      <c r="BX188" s="303"/>
      <c r="BY188" s="304"/>
      <c r="BZ188" s="157"/>
      <c r="CA188" s="305"/>
      <c r="CB188" s="305"/>
      <c r="CC188" s="305"/>
      <c r="CD188" s="305"/>
      <c r="CE188" s="305"/>
      <c r="CF188" s="305"/>
      <c r="CG188" s="305"/>
      <c r="CH188" s="307"/>
      <c r="CI188" s="304"/>
      <c r="CJ188" s="304"/>
      <c r="CK188" s="304"/>
      <c r="CL188" s="304"/>
      <c r="CM188" s="304"/>
      <c r="CN188" s="304"/>
      <c r="CO188" s="304"/>
      <c r="CP188" s="304"/>
      <c r="CQ188" s="304"/>
      <c r="CR188" s="304"/>
      <c r="CS188" s="304"/>
      <c r="CT188" s="304"/>
      <c r="CU188" s="157"/>
      <c r="CV188" s="308"/>
      <c r="CW188" s="309">
        <f t="shared" ref="CW188:CW190" si="214">AF188*AZ188/100</f>
        <v>0</v>
      </c>
      <c r="CX188" s="309">
        <f t="shared" ref="CX188:CX190" si="215">AG188*BA188/100</f>
        <v>0</v>
      </c>
      <c r="CY188" s="309">
        <f t="shared" ref="CY188:CY190" si="216">AH188*BB188/100</f>
        <v>0</v>
      </c>
      <c r="CZ188" s="309">
        <f t="shared" ref="CZ188:CZ190" si="217">AI188*BC188/100</f>
        <v>0</v>
      </c>
      <c r="DA188" s="309">
        <f t="shared" ref="DA188:DA190" si="218">AJ188*BD188/100</f>
        <v>0</v>
      </c>
      <c r="DB188" s="309">
        <f t="shared" ref="DB188:DB190" si="219">AK188*BE188/100</f>
        <v>0</v>
      </c>
      <c r="DC188" s="309">
        <f t="shared" ref="DC188:DC190" si="220">(AK188*BE188+BL188*AR188)/100</f>
        <v>0</v>
      </c>
      <c r="DD188" s="309">
        <f t="shared" ref="DD188:DD190" si="221">AL188*BF188/100</f>
        <v>0</v>
      </c>
      <c r="DE188" s="309">
        <f t="shared" ref="DE188:DE190" si="222">DD188+BQ188*AW188/100</f>
        <v>0</v>
      </c>
      <c r="DF188" s="309">
        <f t="shared" ref="DF188:DF190" si="223">AM188*BG188/100</f>
        <v>0</v>
      </c>
      <c r="DG188" s="309">
        <f t="shared" ref="DG188:DG190" si="224">AN188*BH188/100</f>
        <v>0</v>
      </c>
      <c r="DH188" s="308">
        <f t="shared" si="191"/>
        <v>0</v>
      </c>
      <c r="DI188" s="308">
        <f t="shared" si="192"/>
        <v>0</v>
      </c>
      <c r="DJ188" s="308">
        <f t="shared" si="193"/>
        <v>0</v>
      </c>
      <c r="DK188" s="308">
        <f t="shared" si="194"/>
        <v>0</v>
      </c>
      <c r="DL188" s="308">
        <f t="shared" si="195"/>
        <v>0</v>
      </c>
      <c r="DM188" s="308">
        <f t="shared" si="196"/>
        <v>0</v>
      </c>
      <c r="DN188" s="308">
        <f t="shared" si="197"/>
        <v>0</v>
      </c>
      <c r="DO188" s="308">
        <f t="shared" si="198"/>
        <v>0</v>
      </c>
      <c r="DP188" s="308">
        <f t="shared" si="199"/>
        <v>0</v>
      </c>
      <c r="DQ188" s="330">
        <f t="shared" si="209"/>
        <v>0</v>
      </c>
      <c r="DR188" s="330">
        <f t="shared" si="210"/>
        <v>0</v>
      </c>
      <c r="DS188" s="330">
        <f t="shared" si="211"/>
        <v>0</v>
      </c>
      <c r="DT188" s="330">
        <f t="shared" si="212"/>
        <v>0</v>
      </c>
      <c r="DU188" s="295"/>
      <c r="DV188" s="295"/>
      <c r="DW188" s="311"/>
      <c r="DX188" s="312"/>
      <c r="DY188" s="295"/>
      <c r="DZ188" s="295"/>
      <c r="EA188" s="295"/>
      <c r="EB188" s="314">
        <f t="shared" si="213"/>
        <v>0</v>
      </c>
      <c r="EC188" s="295"/>
      <c r="ED188" s="295"/>
      <c r="EE188" s="295">
        <v>117327.41</v>
      </c>
      <c r="EF188" s="295"/>
      <c r="EG188" s="347"/>
      <c r="EH188" s="295"/>
      <c r="EI188" s="295"/>
      <c r="EJ188" s="295"/>
      <c r="EK188" s="352"/>
      <c r="EL188" s="352">
        <v>0.04</v>
      </c>
      <c r="EM188" s="352"/>
      <c r="EN188" s="352">
        <v>6.2500000000000003E-3</v>
      </c>
      <c r="EO188" s="352">
        <v>1.9799999999999999E-4</v>
      </c>
      <c r="EP188" s="352">
        <v>1.2E-4</v>
      </c>
      <c r="EQ188" s="354"/>
      <c r="ER188" s="295"/>
      <c r="ES188" s="318">
        <v>1900000</v>
      </c>
      <c r="ET188" s="318">
        <v>281230</v>
      </c>
      <c r="EU188" s="318">
        <v>15000</v>
      </c>
      <c r="EV188" s="318">
        <v>800</v>
      </c>
      <c r="EW188" s="318">
        <v>6</v>
      </c>
      <c r="EX188" s="318">
        <v>7250</v>
      </c>
      <c r="EY188" s="318">
        <v>5500</v>
      </c>
      <c r="EZ188" s="318">
        <v>1500</v>
      </c>
      <c r="FA188" s="318">
        <v>60</v>
      </c>
      <c r="FB188" s="318"/>
      <c r="FC188" s="318">
        <v>650</v>
      </c>
      <c r="FD188" s="318"/>
      <c r="FE188" s="295"/>
      <c r="FF188" s="295"/>
      <c r="FG188" s="295"/>
      <c r="FH188" s="295"/>
      <c r="FI188" s="295"/>
      <c r="FJ188" s="295"/>
      <c r="FK188" s="295"/>
      <c r="FL188" s="295"/>
      <c r="FM188" s="335" t="e">
        <f t="shared" si="134"/>
        <v>#DIV/0!</v>
      </c>
      <c r="FN188" s="335" t="e">
        <f t="shared" si="135"/>
        <v>#DIV/0!</v>
      </c>
      <c r="FO188" s="338" t="e">
        <f t="shared" si="136"/>
        <v>#DIV/0!</v>
      </c>
      <c r="FP188" s="338" t="e">
        <f t="shared" si="137"/>
        <v>#DIV/0!</v>
      </c>
      <c r="FQ188" s="339" t="e">
        <f t="shared" si="138"/>
        <v>#DIV/0!</v>
      </c>
    </row>
    <row r="189" spans="2:173" ht="14" x14ac:dyDescent="0.15">
      <c r="B189" s="182" t="s">
        <v>437</v>
      </c>
      <c r="C189" s="157"/>
      <c r="D189" s="295"/>
      <c r="E189" s="295"/>
      <c r="F189" s="295"/>
      <c r="G189" s="295"/>
      <c r="H189" s="295"/>
      <c r="I189" s="295"/>
      <c r="J189" s="295"/>
      <c r="K189" s="295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57"/>
      <c r="Z189" s="157"/>
      <c r="AA189" s="157"/>
      <c r="AB189" s="307"/>
      <c r="AC189" s="307"/>
      <c r="AD189" s="307"/>
      <c r="AE189" s="157"/>
      <c r="AF189" s="348"/>
      <c r="AG189" s="348"/>
      <c r="AH189" s="349"/>
      <c r="AI189" s="349"/>
      <c r="AJ189" s="349"/>
      <c r="AK189" s="349"/>
      <c r="AL189" s="349"/>
      <c r="AM189" s="349"/>
      <c r="AN189" s="349"/>
      <c r="AO189" s="349"/>
      <c r="AP189" s="349"/>
      <c r="AQ189" s="349"/>
      <c r="AR189" s="349"/>
      <c r="AS189" s="348"/>
      <c r="AT189" s="348"/>
      <c r="AU189" s="348"/>
      <c r="AV189" s="348"/>
      <c r="AW189" s="348"/>
      <c r="AX189" s="157"/>
      <c r="AY189" s="350"/>
      <c r="AZ189" s="350"/>
      <c r="BA189" s="350"/>
      <c r="BB189" s="300"/>
      <c r="BC189" s="300"/>
      <c r="BD189" s="300"/>
      <c r="BE189" s="300"/>
      <c r="BF189" s="300"/>
      <c r="BG189" s="300"/>
      <c r="BH189" s="300"/>
      <c r="BI189" s="300"/>
      <c r="BJ189" s="300"/>
      <c r="BK189" s="300"/>
      <c r="BL189" s="300"/>
      <c r="BM189" s="350"/>
      <c r="BN189" s="350"/>
      <c r="BO189" s="350"/>
      <c r="BP189" s="350"/>
      <c r="BQ189" s="350"/>
      <c r="BR189" s="157"/>
      <c r="BS189" s="303"/>
      <c r="BT189" s="303"/>
      <c r="BU189" s="303"/>
      <c r="BV189" s="303"/>
      <c r="BW189" s="303"/>
      <c r="BX189" s="303"/>
      <c r="BY189" s="304"/>
      <c r="BZ189" s="157"/>
      <c r="CA189" s="305"/>
      <c r="CB189" s="305"/>
      <c r="CC189" s="305"/>
      <c r="CD189" s="305"/>
      <c r="CE189" s="305"/>
      <c r="CF189" s="305"/>
      <c r="CG189" s="305"/>
      <c r="CH189" s="307"/>
      <c r="CI189" s="304"/>
      <c r="CJ189" s="304"/>
      <c r="CK189" s="304"/>
      <c r="CL189" s="304"/>
      <c r="CM189" s="304"/>
      <c r="CN189" s="304"/>
      <c r="CO189" s="304"/>
      <c r="CP189" s="304"/>
      <c r="CQ189" s="304"/>
      <c r="CR189" s="304"/>
      <c r="CS189" s="304"/>
      <c r="CT189" s="304"/>
      <c r="CU189" s="157"/>
      <c r="CV189" s="309"/>
      <c r="CW189" s="309">
        <f t="shared" si="214"/>
        <v>0</v>
      </c>
      <c r="CX189" s="309">
        <f t="shared" si="215"/>
        <v>0</v>
      </c>
      <c r="CY189" s="309">
        <f t="shared" si="216"/>
        <v>0</v>
      </c>
      <c r="CZ189" s="309">
        <f t="shared" si="217"/>
        <v>0</v>
      </c>
      <c r="DA189" s="309">
        <f t="shared" si="218"/>
        <v>0</v>
      </c>
      <c r="DB189" s="309">
        <f t="shared" si="219"/>
        <v>0</v>
      </c>
      <c r="DC189" s="309">
        <f t="shared" si="220"/>
        <v>0</v>
      </c>
      <c r="DD189" s="309">
        <f t="shared" si="221"/>
        <v>0</v>
      </c>
      <c r="DE189" s="309">
        <f t="shared" si="222"/>
        <v>0</v>
      </c>
      <c r="DF189" s="309">
        <f t="shared" si="223"/>
        <v>0</v>
      </c>
      <c r="DG189" s="309">
        <f t="shared" si="224"/>
        <v>0</v>
      </c>
      <c r="DH189" s="308">
        <f t="shared" si="191"/>
        <v>0</v>
      </c>
      <c r="DI189" s="308">
        <f t="shared" si="192"/>
        <v>0</v>
      </c>
      <c r="DJ189" s="308">
        <f t="shared" si="193"/>
        <v>0</v>
      </c>
      <c r="DK189" s="308">
        <f t="shared" si="194"/>
        <v>0</v>
      </c>
      <c r="DL189" s="308">
        <f t="shared" si="195"/>
        <v>0</v>
      </c>
      <c r="DM189" s="308">
        <f t="shared" si="196"/>
        <v>0</v>
      </c>
      <c r="DN189" s="308">
        <f t="shared" si="197"/>
        <v>0</v>
      </c>
      <c r="DO189" s="308">
        <f t="shared" si="198"/>
        <v>0</v>
      </c>
      <c r="DP189" s="308">
        <f t="shared" si="199"/>
        <v>0</v>
      </c>
      <c r="DQ189" s="330">
        <f t="shared" si="209"/>
        <v>0</v>
      </c>
      <c r="DR189" s="330">
        <f t="shared" si="210"/>
        <v>0</v>
      </c>
      <c r="DS189" s="330">
        <f t="shared" si="211"/>
        <v>0</v>
      </c>
      <c r="DT189" s="330">
        <f t="shared" si="212"/>
        <v>0</v>
      </c>
      <c r="DU189" s="295"/>
      <c r="DV189" s="295"/>
      <c r="DW189" s="311"/>
      <c r="DX189" s="312"/>
      <c r="DY189" s="295"/>
      <c r="DZ189" s="295"/>
      <c r="EA189" s="295"/>
      <c r="EB189" s="314">
        <f t="shared" si="213"/>
        <v>0</v>
      </c>
      <c r="EC189" s="295"/>
      <c r="ED189" s="295"/>
      <c r="EE189" s="295"/>
      <c r="EF189" s="295"/>
      <c r="EG189" s="347"/>
      <c r="EH189" s="295"/>
      <c r="EI189" s="295"/>
      <c r="EJ189" s="295"/>
      <c r="EK189" s="352"/>
      <c r="EL189" s="352"/>
      <c r="EM189" s="352"/>
      <c r="EN189" s="352"/>
      <c r="EO189" s="352"/>
      <c r="EP189" s="352"/>
      <c r="EQ189" s="354"/>
      <c r="ER189" s="295"/>
      <c r="ES189" s="318"/>
      <c r="ET189" s="318"/>
      <c r="EU189" s="318"/>
      <c r="EV189" s="318"/>
      <c r="EW189" s="318"/>
      <c r="EX189" s="318"/>
      <c r="EY189" s="318"/>
      <c r="EZ189" s="318"/>
      <c r="FA189" s="318"/>
      <c r="FB189" s="318"/>
      <c r="FC189" s="318"/>
      <c r="FD189" s="318"/>
      <c r="FE189" s="295"/>
      <c r="FF189" s="295"/>
      <c r="FG189" s="295"/>
      <c r="FH189" s="295"/>
      <c r="FI189" s="295"/>
      <c r="FJ189" s="295"/>
      <c r="FK189" s="295"/>
      <c r="FL189" s="295"/>
      <c r="FM189" s="335" t="e">
        <f t="shared" si="134"/>
        <v>#DIV/0!</v>
      </c>
      <c r="FN189" s="335" t="e">
        <f t="shared" si="135"/>
        <v>#DIV/0!</v>
      </c>
      <c r="FO189" s="338" t="e">
        <f t="shared" si="136"/>
        <v>#DIV/0!</v>
      </c>
      <c r="FP189" s="338" t="e">
        <f t="shared" si="137"/>
        <v>#DIV/0!</v>
      </c>
      <c r="FQ189" s="339" t="e">
        <f t="shared" si="138"/>
        <v>#DIV/0!</v>
      </c>
    </row>
    <row r="190" spans="2:173" s="113" customFormat="1" ht="14" x14ac:dyDescent="0.15">
      <c r="B190" s="182" t="s">
        <v>459</v>
      </c>
      <c r="C190" s="293"/>
      <c r="D190" s="289"/>
      <c r="E190" s="355">
        <v>3589.74</v>
      </c>
      <c r="F190" s="355">
        <v>2211.6149999999998</v>
      </c>
      <c r="G190" s="289"/>
      <c r="H190" s="322">
        <v>95.76</v>
      </c>
      <c r="I190" s="322">
        <v>70.59</v>
      </c>
      <c r="J190" s="322">
        <v>7</v>
      </c>
      <c r="K190" s="322">
        <v>1.43</v>
      </c>
      <c r="L190" s="293"/>
      <c r="M190" s="293"/>
      <c r="N190" s="293"/>
      <c r="O190" s="293"/>
      <c r="P190" s="293"/>
      <c r="Q190" s="293"/>
      <c r="R190" s="293"/>
      <c r="S190" s="293"/>
      <c r="T190" s="293"/>
      <c r="U190" s="293">
        <v>19.5</v>
      </c>
      <c r="V190" s="329">
        <v>9.75</v>
      </c>
      <c r="W190" s="329">
        <v>0.88</v>
      </c>
      <c r="X190" s="293"/>
      <c r="Y190" s="293"/>
      <c r="Z190" s="293"/>
      <c r="AA190" s="293"/>
      <c r="AB190" s="329"/>
      <c r="AC190" s="329"/>
      <c r="AD190" s="329"/>
      <c r="AE190" s="293"/>
      <c r="AF190" s="325">
        <v>4.47</v>
      </c>
      <c r="AG190" s="325">
        <v>1.74</v>
      </c>
      <c r="AH190" s="291">
        <v>3.57</v>
      </c>
      <c r="AI190" s="291">
        <v>5.71</v>
      </c>
      <c r="AJ190" s="291">
        <v>4.12</v>
      </c>
      <c r="AK190" s="291">
        <v>1.02</v>
      </c>
      <c r="AL190" s="291">
        <v>3.7</v>
      </c>
      <c r="AM190" s="291">
        <v>2.78</v>
      </c>
      <c r="AN190" s="291">
        <v>1</v>
      </c>
      <c r="AO190" s="291">
        <v>3.62</v>
      </c>
      <c r="AP190" s="291"/>
      <c r="AQ190" s="291"/>
      <c r="AR190" s="291">
        <v>1.1299999999999999</v>
      </c>
      <c r="AS190" s="325"/>
      <c r="AT190" s="325"/>
      <c r="AU190" s="325"/>
      <c r="AV190" s="325"/>
      <c r="AW190" s="325"/>
      <c r="AX190" s="293"/>
      <c r="AY190" s="292"/>
      <c r="AZ190" s="292">
        <v>95.3</v>
      </c>
      <c r="BA190" s="292">
        <v>89.66</v>
      </c>
      <c r="BB190" s="287">
        <v>89.08</v>
      </c>
      <c r="BC190" s="287">
        <v>88.09</v>
      </c>
      <c r="BD190" s="287">
        <v>86.65</v>
      </c>
      <c r="BE190" s="287">
        <v>90.2</v>
      </c>
      <c r="BF190" s="287">
        <v>89.73</v>
      </c>
      <c r="BG190" s="287">
        <v>84.89</v>
      </c>
      <c r="BH190" s="287">
        <v>92</v>
      </c>
      <c r="BI190" s="287">
        <v>86.74</v>
      </c>
      <c r="BJ190" s="287"/>
      <c r="BK190" s="287"/>
      <c r="BL190" s="287">
        <v>77.88</v>
      </c>
      <c r="BM190" s="292"/>
      <c r="BN190" s="292"/>
      <c r="BO190" s="292"/>
      <c r="BP190" s="292"/>
      <c r="BQ190" s="292"/>
      <c r="BR190" s="293"/>
      <c r="BS190" s="291">
        <v>0.17</v>
      </c>
      <c r="BT190" s="291">
        <v>0.05</v>
      </c>
      <c r="BU190" s="291">
        <v>0.1</v>
      </c>
      <c r="BV190" s="291">
        <v>0.04</v>
      </c>
      <c r="BW190" s="291">
        <v>0.01</v>
      </c>
      <c r="BX190" s="291">
        <v>0.4</v>
      </c>
      <c r="BY190" s="325">
        <v>0.82</v>
      </c>
      <c r="BZ190" s="293"/>
      <c r="CA190" s="327"/>
      <c r="CB190" s="327"/>
      <c r="CC190" s="328">
        <v>89.47</v>
      </c>
      <c r="CD190" s="327"/>
      <c r="CE190" s="327"/>
      <c r="CF190" s="327"/>
      <c r="CG190" s="327"/>
      <c r="CH190" s="329"/>
      <c r="CI190" s="325"/>
      <c r="CJ190" s="325"/>
      <c r="CK190" s="325"/>
      <c r="CL190" s="325"/>
      <c r="CM190" s="325"/>
      <c r="CN190" s="325"/>
      <c r="CO190" s="325"/>
      <c r="CP190" s="325"/>
      <c r="CQ190" s="325"/>
      <c r="CR190" s="325"/>
      <c r="CS190" s="325"/>
      <c r="CT190" s="325"/>
      <c r="CU190" s="293"/>
      <c r="CV190" s="331"/>
      <c r="CW190" s="331">
        <f t="shared" si="214"/>
        <v>4.2599099999999996</v>
      </c>
      <c r="CX190" s="331">
        <f t="shared" si="215"/>
        <v>1.560084</v>
      </c>
      <c r="CY190" s="331">
        <f t="shared" si="216"/>
        <v>3.1801560000000002</v>
      </c>
      <c r="CZ190" s="331">
        <f t="shared" si="217"/>
        <v>5.0299389999999997</v>
      </c>
      <c r="DA190" s="331">
        <f t="shared" si="218"/>
        <v>3.5699800000000006</v>
      </c>
      <c r="DB190" s="331">
        <f t="shared" si="219"/>
        <v>0.92004000000000008</v>
      </c>
      <c r="DC190" s="331">
        <f t="shared" si="220"/>
        <v>1.800084</v>
      </c>
      <c r="DD190" s="331">
        <f t="shared" si="221"/>
        <v>3.3200100000000003</v>
      </c>
      <c r="DE190" s="331">
        <f t="shared" si="222"/>
        <v>3.3200100000000003</v>
      </c>
      <c r="DF190" s="331">
        <f t="shared" si="223"/>
        <v>2.3599419999999998</v>
      </c>
      <c r="DG190" s="331">
        <f t="shared" si="224"/>
        <v>0.92</v>
      </c>
      <c r="DH190" s="330">
        <f t="shared" si="191"/>
        <v>3.1399880000000002</v>
      </c>
      <c r="DI190" s="330">
        <f t="shared" si="192"/>
        <v>0</v>
      </c>
      <c r="DJ190" s="330">
        <f t="shared" si="193"/>
        <v>0</v>
      </c>
      <c r="DK190" s="330">
        <f t="shared" si="194"/>
        <v>0.88004399999999994</v>
      </c>
      <c r="DL190" s="330">
        <f t="shared" si="195"/>
        <v>0</v>
      </c>
      <c r="DM190" s="330">
        <f t="shared" si="196"/>
        <v>0</v>
      </c>
      <c r="DN190" s="330">
        <f t="shared" si="197"/>
        <v>0</v>
      </c>
      <c r="DO190" s="330">
        <f t="shared" si="198"/>
        <v>0</v>
      </c>
      <c r="DP190" s="330">
        <f t="shared" si="199"/>
        <v>0</v>
      </c>
      <c r="DQ190" s="330">
        <f t="shared" si="209"/>
        <v>0</v>
      </c>
      <c r="DR190" s="330">
        <f t="shared" si="210"/>
        <v>0.35788000000000003</v>
      </c>
      <c r="DS190" s="330">
        <f t="shared" si="211"/>
        <v>0</v>
      </c>
      <c r="DT190" s="330">
        <f t="shared" si="212"/>
        <v>0</v>
      </c>
      <c r="DU190" s="289"/>
      <c r="DV190" s="289"/>
      <c r="DW190" s="311"/>
      <c r="DX190" s="312"/>
      <c r="DY190" s="289"/>
      <c r="DZ190" s="289"/>
      <c r="EA190" s="338">
        <v>0.89470000000000005</v>
      </c>
      <c r="EB190" s="314">
        <f t="shared" si="213"/>
        <v>0.35788000000000003</v>
      </c>
      <c r="EC190" s="289"/>
      <c r="ED190" s="289"/>
      <c r="EE190" s="289"/>
      <c r="EF190" s="289"/>
      <c r="EG190" s="389"/>
      <c r="EH190" s="289"/>
      <c r="EI190" s="289"/>
      <c r="EJ190" s="289"/>
      <c r="EK190" s="341">
        <v>1.7E-5</v>
      </c>
      <c r="EL190" s="341">
        <v>1.7000000000000001E-4</v>
      </c>
      <c r="EM190" s="341"/>
      <c r="EN190" s="341">
        <v>2.1999999999999999E-5</v>
      </c>
      <c r="EO190" s="341"/>
      <c r="EP190" s="341"/>
      <c r="EQ190" s="343"/>
      <c r="ER190" s="289"/>
      <c r="ES190" s="337"/>
      <c r="ET190" s="337"/>
      <c r="EU190" s="337"/>
      <c r="EV190" s="337"/>
      <c r="EW190" s="337"/>
      <c r="EX190" s="337"/>
      <c r="EY190" s="337"/>
      <c r="EZ190" s="337"/>
      <c r="FA190" s="337"/>
      <c r="FB190" s="337"/>
      <c r="FC190" s="337"/>
      <c r="FD190" s="337"/>
      <c r="FE190" s="289"/>
      <c r="FF190" s="289"/>
      <c r="FG190" s="289"/>
      <c r="FH190" s="289"/>
      <c r="FI190" s="289"/>
      <c r="FJ190" s="289"/>
      <c r="FK190" s="289"/>
      <c r="FL190" s="289"/>
      <c r="FM190" s="335">
        <f t="shared" si="134"/>
        <v>0.62425965801970962</v>
      </c>
      <c r="FN190" s="335">
        <f t="shared" si="135"/>
        <v>0.63224544074987798</v>
      </c>
      <c r="FO190" s="338">
        <f t="shared" si="136"/>
        <v>0.98736917308459082</v>
      </c>
      <c r="FP190" s="338">
        <f t="shared" si="137"/>
        <v>0.18290480262285488</v>
      </c>
      <c r="FQ190" s="339">
        <f t="shared" si="138"/>
        <v>7.1255687774472304E-2</v>
      </c>
    </row>
    <row r="191" spans="2:173" ht="14" x14ac:dyDescent="0.15">
      <c r="B191" s="182" t="s">
        <v>460</v>
      </c>
      <c r="C191" s="157"/>
      <c r="D191" s="295"/>
      <c r="E191" s="295"/>
      <c r="F191" s="295"/>
      <c r="G191" s="295"/>
      <c r="H191" s="296"/>
      <c r="I191" s="296"/>
      <c r="J191" s="296"/>
      <c r="K191" s="296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57"/>
      <c r="Z191" s="157"/>
      <c r="AA191" s="157"/>
      <c r="AB191" s="307"/>
      <c r="AC191" s="307"/>
      <c r="AD191" s="307"/>
      <c r="AE191" s="157"/>
      <c r="AF191" s="309"/>
      <c r="AG191" s="309"/>
      <c r="AH191" s="308"/>
      <c r="AI191" s="308"/>
      <c r="AJ191" s="308"/>
      <c r="AK191" s="308"/>
      <c r="AL191" s="308"/>
      <c r="AM191" s="308"/>
      <c r="AN191" s="308"/>
      <c r="AO191" s="308"/>
      <c r="AP191" s="308"/>
      <c r="AQ191" s="308"/>
      <c r="AR191" s="308"/>
      <c r="AS191" s="309"/>
      <c r="AT191" s="309"/>
      <c r="AU191" s="309"/>
      <c r="AV191" s="309"/>
      <c r="AW191" s="309"/>
      <c r="AX191" s="157"/>
      <c r="AY191" s="350"/>
      <c r="AZ191" s="350"/>
      <c r="BA191" s="350"/>
      <c r="BB191" s="300"/>
      <c r="BC191" s="300"/>
      <c r="BD191" s="300"/>
      <c r="BE191" s="300"/>
      <c r="BF191" s="300"/>
      <c r="BG191" s="300"/>
      <c r="BH191" s="300"/>
      <c r="BI191" s="300"/>
      <c r="BJ191" s="300"/>
      <c r="BK191" s="300"/>
      <c r="BL191" s="300"/>
      <c r="BM191" s="350"/>
      <c r="BN191" s="350"/>
      <c r="BO191" s="350"/>
      <c r="BP191" s="350"/>
      <c r="BQ191" s="350"/>
      <c r="BR191" s="157"/>
      <c r="BS191" s="303"/>
      <c r="BT191" s="303"/>
      <c r="BU191" s="303"/>
      <c r="BV191" s="303"/>
      <c r="BW191" s="303"/>
      <c r="BX191" s="303"/>
      <c r="BY191" s="304"/>
      <c r="BZ191" s="157"/>
      <c r="CA191" s="305"/>
      <c r="CB191" s="305"/>
      <c r="CC191" s="305"/>
      <c r="CD191" s="305"/>
      <c r="CE191" s="305"/>
      <c r="CF191" s="305"/>
      <c r="CG191" s="305"/>
      <c r="CH191" s="307"/>
      <c r="CI191" s="304"/>
      <c r="CJ191" s="304"/>
      <c r="CK191" s="304"/>
      <c r="CL191" s="304"/>
      <c r="CM191" s="304"/>
      <c r="CN191" s="304"/>
      <c r="CO191" s="304"/>
      <c r="CP191" s="304"/>
      <c r="CQ191" s="304"/>
      <c r="CR191" s="304"/>
      <c r="CS191" s="304"/>
      <c r="CT191" s="304"/>
      <c r="CU191" s="157"/>
      <c r="CV191" s="309"/>
      <c r="CW191" s="309">
        <f t="shared" ref="CW191:CW196" si="225">AF191*AZ191/100</f>
        <v>0</v>
      </c>
      <c r="CX191" s="309">
        <f t="shared" ref="CX191:CX196" si="226">AG191*BA191/100</f>
        <v>0</v>
      </c>
      <c r="CY191" s="309">
        <f t="shared" ref="CY191:CY196" si="227">AH191*BB191/100</f>
        <v>0</v>
      </c>
      <c r="CZ191" s="309">
        <f t="shared" ref="CZ191:CZ196" si="228">AI191*BC191/100</f>
        <v>0</v>
      </c>
      <c r="DA191" s="309">
        <f t="shared" ref="DA191:DA196" si="229">AJ191*BD191/100</f>
        <v>0</v>
      </c>
      <c r="DB191" s="309">
        <f t="shared" ref="DB191:DB196" si="230">AK191*BE191/100</f>
        <v>0</v>
      </c>
      <c r="DC191" s="309">
        <f t="shared" ref="DC191:DC196" si="231">(AK191*BE191+BL191*AR191)/100</f>
        <v>0</v>
      </c>
      <c r="DD191" s="309">
        <f t="shared" ref="DD191:DD196" si="232">AL191*BF191/100</f>
        <v>0</v>
      </c>
      <c r="DE191" s="309">
        <f t="shared" ref="DE191:DE196" si="233">DD191+BQ191*AW191/100</f>
        <v>0</v>
      </c>
      <c r="DF191" s="309">
        <f t="shared" ref="DF191:DF196" si="234">AM191*BG191/100</f>
        <v>0</v>
      </c>
      <c r="DG191" s="309">
        <f t="shared" ref="DG191:DG196" si="235">AN191*BH191/100</f>
        <v>0</v>
      </c>
      <c r="DH191" s="308">
        <f t="shared" si="191"/>
        <v>0</v>
      </c>
      <c r="DI191" s="308">
        <f t="shared" si="192"/>
        <v>0</v>
      </c>
      <c r="DJ191" s="308">
        <f t="shared" si="193"/>
        <v>0</v>
      </c>
      <c r="DK191" s="308">
        <f t="shared" si="194"/>
        <v>0</v>
      </c>
      <c r="DL191" s="308">
        <f t="shared" si="195"/>
        <v>0</v>
      </c>
      <c r="DM191" s="308">
        <f t="shared" si="196"/>
        <v>0</v>
      </c>
      <c r="DN191" s="308">
        <f t="shared" si="197"/>
        <v>0</v>
      </c>
      <c r="DO191" s="308">
        <f t="shared" si="198"/>
        <v>0</v>
      </c>
      <c r="DP191" s="308">
        <f t="shared" si="199"/>
        <v>0</v>
      </c>
      <c r="DQ191" s="330">
        <f t="shared" si="209"/>
        <v>0</v>
      </c>
      <c r="DR191" s="330">
        <f t="shared" si="210"/>
        <v>0</v>
      </c>
      <c r="DS191" s="330">
        <f t="shared" si="211"/>
        <v>0</v>
      </c>
      <c r="DT191" s="330">
        <f t="shared" si="212"/>
        <v>0</v>
      </c>
      <c r="DU191" s="295"/>
      <c r="DV191" s="295"/>
      <c r="DW191" s="311"/>
      <c r="DX191" s="312"/>
      <c r="DY191" s="295"/>
      <c r="DZ191" s="295"/>
      <c r="EA191" s="295"/>
      <c r="EB191" s="314">
        <f t="shared" si="213"/>
        <v>0</v>
      </c>
      <c r="EC191" s="295"/>
      <c r="ED191" s="295"/>
      <c r="EE191" s="295"/>
      <c r="EF191" s="295"/>
      <c r="EG191" s="347"/>
      <c r="EH191" s="295"/>
      <c r="EI191" s="295"/>
      <c r="EJ191" s="295"/>
      <c r="EK191" s="352"/>
      <c r="EL191" s="352"/>
      <c r="EM191" s="352"/>
      <c r="EN191" s="352"/>
      <c r="EO191" s="352"/>
      <c r="EP191" s="352"/>
      <c r="EQ191" s="354"/>
      <c r="ER191" s="295"/>
      <c r="ES191" s="318"/>
      <c r="ET191" s="318"/>
      <c r="EU191" s="318"/>
      <c r="EV191" s="318"/>
      <c r="EW191" s="318"/>
      <c r="EX191" s="318"/>
      <c r="EY191" s="318"/>
      <c r="EZ191" s="318"/>
      <c r="FA191" s="318"/>
      <c r="FB191" s="318"/>
      <c r="FC191" s="318"/>
      <c r="FD191" s="318"/>
      <c r="FE191" s="295"/>
      <c r="FF191" s="295"/>
      <c r="FG191" s="295"/>
      <c r="FH191" s="295"/>
      <c r="FI191" s="295"/>
      <c r="FJ191" s="295"/>
      <c r="FK191" s="295"/>
      <c r="FL191" s="295"/>
      <c r="FM191" s="335" t="e">
        <f t="shared" si="134"/>
        <v>#DIV/0!</v>
      </c>
      <c r="FN191" s="335" t="e">
        <f t="shared" si="135"/>
        <v>#DIV/0!</v>
      </c>
      <c r="FO191" s="338" t="e">
        <f t="shared" si="136"/>
        <v>#DIV/0!</v>
      </c>
      <c r="FP191" s="338" t="e">
        <f t="shared" si="137"/>
        <v>#DIV/0!</v>
      </c>
      <c r="FQ191" s="339" t="e">
        <f t="shared" si="138"/>
        <v>#DIV/0!</v>
      </c>
    </row>
    <row r="192" spans="2:173" ht="14" x14ac:dyDescent="0.15">
      <c r="B192" s="182" t="s">
        <v>438</v>
      </c>
      <c r="C192" s="157"/>
      <c r="D192" s="295"/>
      <c r="E192" s="295"/>
      <c r="F192" s="295"/>
      <c r="G192" s="295"/>
      <c r="H192" s="296"/>
      <c r="I192" s="296"/>
      <c r="J192" s="296"/>
      <c r="K192" s="296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57"/>
      <c r="Z192" s="157"/>
      <c r="AA192" s="157"/>
      <c r="AB192" s="307"/>
      <c r="AC192" s="307"/>
      <c r="AD192" s="307"/>
      <c r="AE192" s="157"/>
      <c r="AF192" s="309"/>
      <c r="AG192" s="309"/>
      <c r="AH192" s="308"/>
      <c r="AI192" s="308"/>
      <c r="AJ192" s="308"/>
      <c r="AK192" s="308"/>
      <c r="AL192" s="308"/>
      <c r="AM192" s="308"/>
      <c r="AN192" s="308"/>
      <c r="AO192" s="308"/>
      <c r="AP192" s="308"/>
      <c r="AQ192" s="308"/>
      <c r="AR192" s="308"/>
      <c r="AS192" s="309"/>
      <c r="AT192" s="309"/>
      <c r="AU192" s="309"/>
      <c r="AV192" s="309"/>
      <c r="AW192" s="309"/>
      <c r="AX192" s="157"/>
      <c r="AY192" s="350"/>
      <c r="AZ192" s="350"/>
      <c r="BA192" s="350"/>
      <c r="BB192" s="300"/>
      <c r="BC192" s="300"/>
      <c r="BD192" s="300"/>
      <c r="BE192" s="300"/>
      <c r="BF192" s="300"/>
      <c r="BG192" s="300"/>
      <c r="BH192" s="300"/>
      <c r="BI192" s="300"/>
      <c r="BJ192" s="300"/>
      <c r="BK192" s="300"/>
      <c r="BL192" s="300"/>
      <c r="BM192" s="350"/>
      <c r="BN192" s="350"/>
      <c r="BO192" s="350"/>
      <c r="BP192" s="350"/>
      <c r="BQ192" s="350"/>
      <c r="BR192" s="157"/>
      <c r="BS192" s="303"/>
      <c r="BT192" s="303"/>
      <c r="BU192" s="303"/>
      <c r="BV192" s="303"/>
      <c r="BW192" s="303"/>
      <c r="BX192" s="303"/>
      <c r="BY192" s="304"/>
      <c r="BZ192" s="157"/>
      <c r="CA192" s="305"/>
      <c r="CB192" s="305"/>
      <c r="CC192" s="305"/>
      <c r="CD192" s="305"/>
      <c r="CE192" s="305"/>
      <c r="CF192" s="305"/>
      <c r="CG192" s="305"/>
      <c r="CH192" s="307"/>
      <c r="CI192" s="304"/>
      <c r="CJ192" s="304"/>
      <c r="CK192" s="304"/>
      <c r="CL192" s="304"/>
      <c r="CM192" s="304"/>
      <c r="CN192" s="304"/>
      <c r="CO192" s="304"/>
      <c r="CP192" s="304"/>
      <c r="CQ192" s="304"/>
      <c r="CR192" s="304"/>
      <c r="CS192" s="304"/>
      <c r="CT192" s="304"/>
      <c r="CU192" s="157"/>
      <c r="CV192" s="309"/>
      <c r="CW192" s="309">
        <f t="shared" si="225"/>
        <v>0</v>
      </c>
      <c r="CX192" s="309">
        <f t="shared" si="226"/>
        <v>0</v>
      </c>
      <c r="CY192" s="309">
        <f t="shared" si="227"/>
        <v>0</v>
      </c>
      <c r="CZ192" s="309">
        <f t="shared" si="228"/>
        <v>0</v>
      </c>
      <c r="DA192" s="309">
        <f t="shared" si="229"/>
        <v>0</v>
      </c>
      <c r="DB192" s="309">
        <f t="shared" si="230"/>
        <v>0</v>
      </c>
      <c r="DC192" s="309">
        <f t="shared" si="231"/>
        <v>0</v>
      </c>
      <c r="DD192" s="309">
        <f t="shared" si="232"/>
        <v>0</v>
      </c>
      <c r="DE192" s="309">
        <f t="shared" si="233"/>
        <v>0</v>
      </c>
      <c r="DF192" s="309">
        <f t="shared" si="234"/>
        <v>0</v>
      </c>
      <c r="DG192" s="309">
        <f t="shared" si="235"/>
        <v>0</v>
      </c>
      <c r="DH192" s="308">
        <f t="shared" si="191"/>
        <v>0</v>
      </c>
      <c r="DI192" s="308">
        <f t="shared" si="192"/>
        <v>0</v>
      </c>
      <c r="DJ192" s="308">
        <f t="shared" si="193"/>
        <v>0</v>
      </c>
      <c r="DK192" s="308">
        <f t="shared" si="194"/>
        <v>0</v>
      </c>
      <c r="DL192" s="308">
        <f t="shared" si="195"/>
        <v>0</v>
      </c>
      <c r="DM192" s="308">
        <f t="shared" si="196"/>
        <v>0</v>
      </c>
      <c r="DN192" s="308">
        <f t="shared" si="197"/>
        <v>0</v>
      </c>
      <c r="DO192" s="308">
        <f t="shared" si="198"/>
        <v>0</v>
      </c>
      <c r="DP192" s="308">
        <f t="shared" si="199"/>
        <v>0</v>
      </c>
      <c r="DQ192" s="330">
        <f t="shared" si="209"/>
        <v>0</v>
      </c>
      <c r="DR192" s="330">
        <f t="shared" si="210"/>
        <v>0</v>
      </c>
      <c r="DS192" s="330">
        <f t="shared" si="211"/>
        <v>0</v>
      </c>
      <c r="DT192" s="330">
        <f t="shared" si="212"/>
        <v>0</v>
      </c>
      <c r="DU192" s="295"/>
      <c r="DV192" s="295"/>
      <c r="DW192" s="311"/>
      <c r="DX192" s="312"/>
      <c r="DY192" s="295"/>
      <c r="DZ192" s="295"/>
      <c r="EA192" s="295"/>
      <c r="EB192" s="314">
        <f t="shared" si="213"/>
        <v>0</v>
      </c>
      <c r="EC192" s="295"/>
      <c r="ED192" s="295"/>
      <c r="EE192" s="295"/>
      <c r="EF192" s="295"/>
      <c r="EG192" s="347"/>
      <c r="EH192" s="295"/>
      <c r="EI192" s="295"/>
      <c r="EJ192" s="295"/>
      <c r="EK192" s="352"/>
      <c r="EL192" s="352"/>
      <c r="EM192" s="352">
        <v>0.2</v>
      </c>
      <c r="EN192" s="352"/>
      <c r="EO192" s="352"/>
      <c r="EP192" s="352"/>
      <c r="EQ192" s="354"/>
      <c r="ER192" s="295"/>
      <c r="ES192" s="318"/>
      <c r="ET192" s="318"/>
      <c r="EU192" s="318"/>
      <c r="EV192" s="318"/>
      <c r="EW192" s="318"/>
      <c r="EX192" s="318"/>
      <c r="EY192" s="318"/>
      <c r="EZ192" s="318"/>
      <c r="FA192" s="318"/>
      <c r="FB192" s="318"/>
      <c r="FC192" s="318"/>
      <c r="FD192" s="318"/>
      <c r="FE192" s="295"/>
      <c r="FF192" s="295"/>
      <c r="FG192" s="295"/>
      <c r="FH192" s="295"/>
      <c r="FI192" s="295"/>
      <c r="FJ192" s="295"/>
      <c r="FK192" s="295"/>
      <c r="FL192" s="295"/>
      <c r="FM192" s="335" t="e">
        <f t="shared" si="134"/>
        <v>#DIV/0!</v>
      </c>
      <c r="FN192" s="335" t="e">
        <f t="shared" si="135"/>
        <v>#DIV/0!</v>
      </c>
      <c r="FO192" s="338" t="e">
        <f t="shared" si="136"/>
        <v>#DIV/0!</v>
      </c>
      <c r="FP192" s="338" t="e">
        <f t="shared" si="137"/>
        <v>#DIV/0!</v>
      </c>
      <c r="FQ192" s="339" t="e">
        <f t="shared" si="138"/>
        <v>#DIV/0!</v>
      </c>
    </row>
    <row r="193" spans="2:173" ht="14" x14ac:dyDescent="0.15">
      <c r="B193" s="182" t="s">
        <v>439</v>
      </c>
      <c r="C193" s="157"/>
      <c r="D193" s="295"/>
      <c r="E193" s="295">
        <v>8820</v>
      </c>
      <c r="F193" s="295">
        <v>7762</v>
      </c>
      <c r="G193" s="295"/>
      <c r="H193" s="296"/>
      <c r="I193" s="296"/>
      <c r="J193" s="296"/>
      <c r="K193" s="296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57"/>
      <c r="Z193" s="157"/>
      <c r="AA193" s="157"/>
      <c r="AB193" s="307"/>
      <c r="AC193" s="307"/>
      <c r="AD193" s="307"/>
      <c r="AE193" s="157"/>
      <c r="AF193" s="309"/>
      <c r="AG193" s="309"/>
      <c r="AH193" s="308"/>
      <c r="AI193" s="308"/>
      <c r="AJ193" s="308"/>
      <c r="AK193" s="308"/>
      <c r="AL193" s="308"/>
      <c r="AM193" s="308"/>
      <c r="AN193" s="308"/>
      <c r="AO193" s="308"/>
      <c r="AP193" s="308"/>
      <c r="AQ193" s="308"/>
      <c r="AR193" s="308"/>
      <c r="AS193" s="309"/>
      <c r="AT193" s="309"/>
      <c r="AU193" s="309"/>
      <c r="AV193" s="309"/>
      <c r="AW193" s="309"/>
      <c r="AX193" s="157"/>
      <c r="AY193" s="350"/>
      <c r="AZ193" s="350"/>
      <c r="BA193" s="350"/>
      <c r="BB193" s="300"/>
      <c r="BC193" s="300"/>
      <c r="BD193" s="300"/>
      <c r="BE193" s="300"/>
      <c r="BF193" s="300"/>
      <c r="BG193" s="300"/>
      <c r="BH193" s="300"/>
      <c r="BI193" s="300"/>
      <c r="BJ193" s="300"/>
      <c r="BK193" s="300"/>
      <c r="BL193" s="300"/>
      <c r="BM193" s="350"/>
      <c r="BN193" s="350"/>
      <c r="BO193" s="350"/>
      <c r="BP193" s="350"/>
      <c r="BQ193" s="350"/>
      <c r="BR193" s="157"/>
      <c r="BS193" s="303"/>
      <c r="BT193" s="303"/>
      <c r="BU193" s="303"/>
      <c r="BV193" s="303"/>
      <c r="BW193" s="303"/>
      <c r="BX193" s="303"/>
      <c r="BY193" s="304"/>
      <c r="BZ193" s="157"/>
      <c r="CA193" s="305"/>
      <c r="CB193" s="305"/>
      <c r="CC193" s="305"/>
      <c r="CD193" s="305"/>
      <c r="CE193" s="305"/>
      <c r="CF193" s="305"/>
      <c r="CG193" s="305"/>
      <c r="CH193" s="307"/>
      <c r="CI193" s="304"/>
      <c r="CJ193" s="304"/>
      <c r="CK193" s="304"/>
      <c r="CL193" s="304"/>
      <c r="CM193" s="304"/>
      <c r="CN193" s="304"/>
      <c r="CO193" s="304"/>
      <c r="CP193" s="304"/>
      <c r="CQ193" s="304"/>
      <c r="CR193" s="304"/>
      <c r="CS193" s="304"/>
      <c r="CT193" s="304"/>
      <c r="CU193" s="157"/>
      <c r="CV193" s="309"/>
      <c r="CW193" s="309">
        <f t="shared" si="225"/>
        <v>0</v>
      </c>
      <c r="CX193" s="309">
        <f t="shared" si="226"/>
        <v>0</v>
      </c>
      <c r="CY193" s="309">
        <f t="shared" si="227"/>
        <v>0</v>
      </c>
      <c r="CZ193" s="309">
        <f t="shared" si="228"/>
        <v>0</v>
      </c>
      <c r="DA193" s="309">
        <f t="shared" si="229"/>
        <v>0</v>
      </c>
      <c r="DB193" s="309">
        <f t="shared" si="230"/>
        <v>0</v>
      </c>
      <c r="DC193" s="309">
        <f t="shared" si="231"/>
        <v>0</v>
      </c>
      <c r="DD193" s="309">
        <f t="shared" si="232"/>
        <v>0</v>
      </c>
      <c r="DE193" s="309">
        <f t="shared" si="233"/>
        <v>0</v>
      </c>
      <c r="DF193" s="309">
        <f t="shared" si="234"/>
        <v>0</v>
      </c>
      <c r="DG193" s="309">
        <f t="shared" si="235"/>
        <v>0</v>
      </c>
      <c r="DH193" s="308">
        <f t="shared" si="191"/>
        <v>0</v>
      </c>
      <c r="DI193" s="308">
        <f t="shared" si="192"/>
        <v>0</v>
      </c>
      <c r="DJ193" s="308">
        <f t="shared" si="193"/>
        <v>0</v>
      </c>
      <c r="DK193" s="308">
        <f t="shared" si="194"/>
        <v>0</v>
      </c>
      <c r="DL193" s="308">
        <f t="shared" si="195"/>
        <v>0</v>
      </c>
      <c r="DM193" s="308">
        <f t="shared" si="196"/>
        <v>0</v>
      </c>
      <c r="DN193" s="308">
        <f t="shared" si="197"/>
        <v>0</v>
      </c>
      <c r="DO193" s="308">
        <f t="shared" si="198"/>
        <v>0</v>
      </c>
      <c r="DP193" s="308">
        <f t="shared" si="199"/>
        <v>0</v>
      </c>
      <c r="DQ193" s="330">
        <f t="shared" si="209"/>
        <v>0</v>
      </c>
      <c r="DR193" s="330">
        <f t="shared" si="210"/>
        <v>0</v>
      </c>
      <c r="DS193" s="330">
        <f t="shared" si="211"/>
        <v>0</v>
      </c>
      <c r="DT193" s="330">
        <f t="shared" si="212"/>
        <v>0</v>
      </c>
      <c r="DU193" s="295"/>
      <c r="DV193" s="295"/>
      <c r="DW193" s="311">
        <v>64000</v>
      </c>
      <c r="DX193" s="312">
        <v>32</v>
      </c>
      <c r="DY193" s="295">
        <v>6791.4</v>
      </c>
      <c r="DZ193" s="295">
        <v>6791.4</v>
      </c>
      <c r="EA193" s="295"/>
      <c r="EB193" s="314">
        <f t="shared" si="213"/>
        <v>0</v>
      </c>
      <c r="EC193" s="295"/>
      <c r="ED193" s="295"/>
      <c r="EE193" s="295"/>
      <c r="EF193" s="295"/>
      <c r="EG193" s="347"/>
      <c r="EH193" s="295"/>
      <c r="EI193" s="295"/>
      <c r="EJ193" s="295"/>
      <c r="EK193" s="352"/>
      <c r="EL193" s="352"/>
      <c r="EM193" s="352"/>
      <c r="EN193" s="352"/>
      <c r="EO193" s="352"/>
      <c r="EP193" s="352"/>
      <c r="EQ193" s="354"/>
      <c r="ER193" s="295"/>
      <c r="ES193" s="318"/>
      <c r="ET193" s="318"/>
      <c r="EU193" s="318"/>
      <c r="EV193" s="318"/>
      <c r="EW193" s="318"/>
      <c r="EX193" s="318"/>
      <c r="EY193" s="318"/>
      <c r="EZ193" s="318"/>
      <c r="FA193" s="318"/>
      <c r="FB193" s="318"/>
      <c r="FC193" s="318"/>
      <c r="FD193" s="318"/>
      <c r="FE193" s="295"/>
      <c r="FF193" s="295"/>
      <c r="FG193" s="295"/>
      <c r="FH193" s="295"/>
      <c r="FI193" s="295"/>
      <c r="FJ193" s="295"/>
      <c r="FK193" s="295"/>
      <c r="FL193" s="295"/>
      <c r="FM193" s="335" t="e">
        <f t="shared" si="134"/>
        <v>#DIV/0!</v>
      </c>
      <c r="FN193" s="335" t="e">
        <f t="shared" si="135"/>
        <v>#DIV/0!</v>
      </c>
      <c r="FO193" s="338" t="e">
        <f t="shared" si="136"/>
        <v>#DIV/0!</v>
      </c>
      <c r="FP193" s="338" t="e">
        <f t="shared" si="137"/>
        <v>#DIV/0!</v>
      </c>
      <c r="FQ193" s="339" t="e">
        <f t="shared" si="138"/>
        <v>#DIV/0!</v>
      </c>
    </row>
    <row r="194" spans="2:173" ht="14" x14ac:dyDescent="0.15">
      <c r="B194" s="182" t="s">
        <v>461</v>
      </c>
      <c r="C194" s="157"/>
      <c r="D194" s="295"/>
      <c r="E194" s="295"/>
      <c r="F194" s="295"/>
      <c r="G194" s="295"/>
      <c r="H194" s="296"/>
      <c r="I194" s="296"/>
      <c r="J194" s="296"/>
      <c r="K194" s="296">
        <v>82</v>
      </c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57"/>
      <c r="Z194" s="157"/>
      <c r="AA194" s="157"/>
      <c r="AB194" s="307"/>
      <c r="AC194" s="307"/>
      <c r="AD194" s="307"/>
      <c r="AE194" s="157"/>
      <c r="AF194" s="309"/>
      <c r="AG194" s="309"/>
      <c r="AH194" s="308"/>
      <c r="AI194" s="308"/>
      <c r="AJ194" s="308"/>
      <c r="AK194" s="308"/>
      <c r="AL194" s="308"/>
      <c r="AM194" s="308"/>
      <c r="AN194" s="308"/>
      <c r="AO194" s="308"/>
      <c r="AP194" s="308"/>
      <c r="AQ194" s="308"/>
      <c r="AR194" s="308"/>
      <c r="AS194" s="309"/>
      <c r="AT194" s="309"/>
      <c r="AU194" s="309"/>
      <c r="AV194" s="309"/>
      <c r="AW194" s="309"/>
      <c r="AX194" s="157"/>
      <c r="AY194" s="350"/>
      <c r="AZ194" s="350"/>
      <c r="BA194" s="350"/>
      <c r="BB194" s="300"/>
      <c r="BC194" s="300"/>
      <c r="BD194" s="300"/>
      <c r="BE194" s="300"/>
      <c r="BF194" s="300"/>
      <c r="BG194" s="300"/>
      <c r="BH194" s="300"/>
      <c r="BI194" s="300"/>
      <c r="BJ194" s="300"/>
      <c r="BK194" s="300"/>
      <c r="BL194" s="300"/>
      <c r="BM194" s="350"/>
      <c r="BN194" s="350"/>
      <c r="BO194" s="350"/>
      <c r="BP194" s="350"/>
      <c r="BQ194" s="350"/>
      <c r="BR194" s="157"/>
      <c r="BS194" s="303"/>
      <c r="BT194" s="303"/>
      <c r="BU194" s="303"/>
      <c r="BV194" s="303"/>
      <c r="BW194" s="303"/>
      <c r="BX194" s="303"/>
      <c r="BY194" s="304"/>
      <c r="BZ194" s="157"/>
      <c r="CA194" s="305"/>
      <c r="CB194" s="305"/>
      <c r="CC194" s="305"/>
      <c r="CD194" s="305"/>
      <c r="CE194" s="305"/>
      <c r="CF194" s="305"/>
      <c r="CG194" s="305"/>
      <c r="CH194" s="307"/>
      <c r="CI194" s="304"/>
      <c r="CJ194" s="304"/>
      <c r="CK194" s="304"/>
      <c r="CL194" s="304"/>
      <c r="CM194" s="304"/>
      <c r="CN194" s="304"/>
      <c r="CO194" s="304"/>
      <c r="CP194" s="304"/>
      <c r="CQ194" s="304"/>
      <c r="CR194" s="304"/>
      <c r="CS194" s="304"/>
      <c r="CT194" s="304"/>
      <c r="CU194" s="157"/>
      <c r="CV194" s="309"/>
      <c r="CW194" s="309">
        <f t="shared" si="225"/>
        <v>0</v>
      </c>
      <c r="CX194" s="309">
        <f t="shared" si="226"/>
        <v>0</v>
      </c>
      <c r="CY194" s="309">
        <f t="shared" si="227"/>
        <v>0</v>
      </c>
      <c r="CZ194" s="309">
        <f t="shared" si="228"/>
        <v>0</v>
      </c>
      <c r="DA194" s="309">
        <f t="shared" si="229"/>
        <v>0</v>
      </c>
      <c r="DB194" s="309">
        <f t="shared" si="230"/>
        <v>0</v>
      </c>
      <c r="DC194" s="309">
        <f t="shared" si="231"/>
        <v>0</v>
      </c>
      <c r="DD194" s="309">
        <f t="shared" si="232"/>
        <v>0</v>
      </c>
      <c r="DE194" s="309">
        <f t="shared" si="233"/>
        <v>0</v>
      </c>
      <c r="DF194" s="309">
        <f t="shared" si="234"/>
        <v>0</v>
      </c>
      <c r="DG194" s="309">
        <f t="shared" si="235"/>
        <v>0</v>
      </c>
      <c r="DH194" s="308">
        <f t="shared" si="191"/>
        <v>0</v>
      </c>
      <c r="DI194" s="308">
        <f t="shared" si="192"/>
        <v>0</v>
      </c>
      <c r="DJ194" s="308">
        <f t="shared" si="193"/>
        <v>0</v>
      </c>
      <c r="DK194" s="308">
        <f t="shared" si="194"/>
        <v>0</v>
      </c>
      <c r="DL194" s="308">
        <f t="shared" si="195"/>
        <v>0</v>
      </c>
      <c r="DM194" s="308">
        <f t="shared" si="196"/>
        <v>0</v>
      </c>
      <c r="DN194" s="308">
        <f t="shared" si="197"/>
        <v>0</v>
      </c>
      <c r="DO194" s="308">
        <f t="shared" si="198"/>
        <v>0</v>
      </c>
      <c r="DP194" s="308">
        <f t="shared" si="199"/>
        <v>0</v>
      </c>
      <c r="DQ194" s="330">
        <f t="shared" si="209"/>
        <v>0</v>
      </c>
      <c r="DR194" s="330">
        <f t="shared" si="210"/>
        <v>0</v>
      </c>
      <c r="DS194" s="330">
        <f t="shared" si="211"/>
        <v>0</v>
      </c>
      <c r="DT194" s="330">
        <f t="shared" si="212"/>
        <v>0</v>
      </c>
      <c r="DU194" s="295"/>
      <c r="DV194" s="295"/>
      <c r="DW194" s="311"/>
      <c r="DX194" s="312"/>
      <c r="DY194" s="295"/>
      <c r="DZ194" s="295"/>
      <c r="EA194" s="295"/>
      <c r="EB194" s="314">
        <f t="shared" si="213"/>
        <v>0</v>
      </c>
      <c r="EC194" s="295"/>
      <c r="ED194" s="295"/>
      <c r="EE194" s="295"/>
      <c r="EF194" s="295"/>
      <c r="EG194" s="347"/>
      <c r="EH194" s="295"/>
      <c r="EI194" s="295"/>
      <c r="EJ194" s="295"/>
      <c r="EK194" s="356"/>
      <c r="EL194" s="356"/>
      <c r="EM194" s="356"/>
      <c r="EN194" s="356"/>
      <c r="EO194" s="356"/>
      <c r="EP194" s="356"/>
      <c r="EQ194" s="295"/>
      <c r="ER194" s="295"/>
      <c r="ES194" s="318"/>
      <c r="ET194" s="318"/>
      <c r="EU194" s="318"/>
      <c r="EV194" s="318"/>
      <c r="EW194" s="318"/>
      <c r="EX194" s="318"/>
      <c r="EY194" s="318"/>
      <c r="EZ194" s="318"/>
      <c r="FA194" s="318"/>
      <c r="FB194" s="318"/>
      <c r="FC194" s="318"/>
      <c r="FD194" s="318"/>
      <c r="FE194" s="295"/>
      <c r="FF194" s="295"/>
      <c r="FG194" s="295"/>
      <c r="FH194" s="295"/>
      <c r="FI194" s="295"/>
      <c r="FJ194" s="295"/>
      <c r="FK194" s="295"/>
      <c r="FL194" s="295"/>
      <c r="FM194" s="335" t="e">
        <f t="shared" si="134"/>
        <v>#DIV/0!</v>
      </c>
      <c r="FN194" s="335" t="e">
        <f t="shared" si="135"/>
        <v>#DIV/0!</v>
      </c>
      <c r="FO194" s="338" t="e">
        <f t="shared" si="136"/>
        <v>#DIV/0!</v>
      </c>
      <c r="FP194" s="338" t="e">
        <f t="shared" si="137"/>
        <v>#DIV/0!</v>
      </c>
      <c r="FQ194" s="339" t="e">
        <f t="shared" si="138"/>
        <v>#DIV/0!</v>
      </c>
    </row>
    <row r="195" spans="2:173" ht="14" x14ac:dyDescent="0.15">
      <c r="B195" s="182" t="s">
        <v>440</v>
      </c>
      <c r="C195" s="157"/>
      <c r="D195" s="295"/>
      <c r="E195" s="295"/>
      <c r="F195" s="295"/>
      <c r="G195" s="295"/>
      <c r="H195" s="296"/>
      <c r="I195" s="296"/>
      <c r="J195" s="296"/>
      <c r="K195" s="296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57"/>
      <c r="Z195" s="157"/>
      <c r="AA195" s="157"/>
      <c r="AB195" s="307"/>
      <c r="AC195" s="307"/>
      <c r="AD195" s="307"/>
      <c r="AE195" s="157"/>
      <c r="AF195" s="309"/>
      <c r="AG195" s="309"/>
      <c r="AH195" s="308"/>
      <c r="AI195" s="308"/>
      <c r="AJ195" s="308"/>
      <c r="AK195" s="308"/>
      <c r="AL195" s="308"/>
      <c r="AM195" s="308"/>
      <c r="AN195" s="308"/>
      <c r="AO195" s="308"/>
      <c r="AP195" s="308"/>
      <c r="AQ195" s="308"/>
      <c r="AR195" s="308"/>
      <c r="AS195" s="309"/>
      <c r="AT195" s="309"/>
      <c r="AU195" s="309"/>
      <c r="AV195" s="309"/>
      <c r="AW195" s="309"/>
      <c r="AX195" s="157"/>
      <c r="AY195" s="350"/>
      <c r="AZ195" s="350"/>
      <c r="BA195" s="350"/>
      <c r="BB195" s="300"/>
      <c r="BC195" s="300"/>
      <c r="BD195" s="300"/>
      <c r="BE195" s="300"/>
      <c r="BF195" s="300"/>
      <c r="BG195" s="300"/>
      <c r="BH195" s="300"/>
      <c r="BI195" s="300"/>
      <c r="BJ195" s="300"/>
      <c r="BK195" s="300"/>
      <c r="BL195" s="300"/>
      <c r="BM195" s="350"/>
      <c r="BN195" s="350"/>
      <c r="BO195" s="350"/>
      <c r="BP195" s="350"/>
      <c r="BQ195" s="350"/>
      <c r="BR195" s="157"/>
      <c r="BS195" s="303"/>
      <c r="BT195" s="303"/>
      <c r="BU195" s="303"/>
      <c r="BV195" s="303"/>
      <c r="BW195" s="303"/>
      <c r="BX195" s="303"/>
      <c r="BY195" s="304"/>
      <c r="BZ195" s="157"/>
      <c r="CA195" s="305"/>
      <c r="CB195" s="305"/>
      <c r="CC195" s="305"/>
      <c r="CD195" s="306"/>
      <c r="CE195" s="306"/>
      <c r="CF195" s="306"/>
      <c r="CG195" s="305"/>
      <c r="CH195" s="307"/>
      <c r="CI195" s="304"/>
      <c r="CJ195" s="304"/>
      <c r="CK195" s="304"/>
      <c r="CL195" s="304"/>
      <c r="CM195" s="304"/>
      <c r="CN195" s="304"/>
      <c r="CO195" s="304"/>
      <c r="CP195" s="304"/>
      <c r="CQ195" s="304"/>
      <c r="CR195" s="304"/>
      <c r="CS195" s="304"/>
      <c r="CT195" s="304"/>
      <c r="CU195" s="157"/>
      <c r="CV195" s="309"/>
      <c r="CW195" s="309">
        <f t="shared" si="225"/>
        <v>0</v>
      </c>
      <c r="CX195" s="309">
        <f t="shared" si="226"/>
        <v>0</v>
      </c>
      <c r="CY195" s="309">
        <f t="shared" si="227"/>
        <v>0</v>
      </c>
      <c r="CZ195" s="309">
        <f t="shared" si="228"/>
        <v>0</v>
      </c>
      <c r="DA195" s="309">
        <f t="shared" si="229"/>
        <v>0</v>
      </c>
      <c r="DB195" s="309">
        <f t="shared" si="230"/>
        <v>0</v>
      </c>
      <c r="DC195" s="309">
        <f t="shared" si="231"/>
        <v>0</v>
      </c>
      <c r="DD195" s="309">
        <f t="shared" si="232"/>
        <v>0</v>
      </c>
      <c r="DE195" s="309">
        <f t="shared" si="233"/>
        <v>0</v>
      </c>
      <c r="DF195" s="309">
        <f t="shared" si="234"/>
        <v>0</v>
      </c>
      <c r="DG195" s="309">
        <f t="shared" si="235"/>
        <v>0</v>
      </c>
      <c r="DH195" s="308">
        <f t="shared" si="191"/>
        <v>0</v>
      </c>
      <c r="DI195" s="308">
        <f t="shared" si="192"/>
        <v>0</v>
      </c>
      <c r="DJ195" s="308">
        <f t="shared" si="193"/>
        <v>0</v>
      </c>
      <c r="DK195" s="308">
        <f t="shared" si="194"/>
        <v>0</v>
      </c>
      <c r="DL195" s="308">
        <f t="shared" si="195"/>
        <v>0</v>
      </c>
      <c r="DM195" s="308">
        <f t="shared" si="196"/>
        <v>0</v>
      </c>
      <c r="DN195" s="308">
        <f t="shared" si="197"/>
        <v>0</v>
      </c>
      <c r="DO195" s="308">
        <f t="shared" si="198"/>
        <v>0</v>
      </c>
      <c r="DP195" s="308">
        <f t="shared" si="199"/>
        <v>0</v>
      </c>
      <c r="DQ195" s="330">
        <f t="shared" si="209"/>
        <v>0</v>
      </c>
      <c r="DR195" s="330">
        <f t="shared" si="210"/>
        <v>0</v>
      </c>
      <c r="DS195" s="330">
        <f t="shared" si="211"/>
        <v>0</v>
      </c>
      <c r="DT195" s="330">
        <f t="shared" si="212"/>
        <v>0</v>
      </c>
      <c r="DU195" s="295"/>
      <c r="DV195" s="295"/>
      <c r="DW195" s="311"/>
      <c r="DX195" s="312"/>
      <c r="DY195" s="295"/>
      <c r="DZ195" s="295"/>
      <c r="EA195" s="295"/>
      <c r="EB195" s="314">
        <f t="shared" si="213"/>
        <v>0</v>
      </c>
      <c r="EC195" s="295"/>
      <c r="ED195" s="295"/>
      <c r="EE195" s="295"/>
      <c r="EF195" s="295"/>
      <c r="EG195" s="347"/>
      <c r="EH195" s="295"/>
      <c r="EI195" s="295"/>
      <c r="EJ195" s="295"/>
      <c r="EK195" s="352">
        <v>0.21</v>
      </c>
      <c r="EL195" s="356"/>
      <c r="EM195" s="356"/>
      <c r="EN195" s="356"/>
      <c r="EO195" s="356"/>
      <c r="EP195" s="356"/>
      <c r="EQ195" s="295"/>
      <c r="ER195" s="295"/>
      <c r="ES195" s="318"/>
      <c r="ET195" s="318"/>
      <c r="EU195" s="318"/>
      <c r="EV195" s="318"/>
      <c r="EW195" s="318"/>
      <c r="EX195" s="318"/>
      <c r="EY195" s="318"/>
      <c r="EZ195" s="318"/>
      <c r="FA195" s="318"/>
      <c r="FB195" s="318"/>
      <c r="FC195" s="318"/>
      <c r="FD195" s="318"/>
      <c r="FE195" s="295"/>
      <c r="FF195" s="295"/>
      <c r="FG195" s="295"/>
      <c r="FH195" s="295"/>
      <c r="FI195" s="295"/>
      <c r="FJ195" s="295"/>
      <c r="FK195" s="295"/>
      <c r="FL195" s="295"/>
      <c r="FM195" s="335" t="e">
        <f t="shared" si="134"/>
        <v>#DIV/0!</v>
      </c>
      <c r="FN195" s="335" t="e">
        <f t="shared" si="135"/>
        <v>#DIV/0!</v>
      </c>
      <c r="FO195" s="338" t="e">
        <f t="shared" si="136"/>
        <v>#DIV/0!</v>
      </c>
      <c r="FP195" s="338" t="e">
        <f t="shared" si="137"/>
        <v>#DIV/0!</v>
      </c>
      <c r="FQ195" s="339" t="e">
        <f t="shared" si="138"/>
        <v>#DIV/0!</v>
      </c>
    </row>
    <row r="196" spans="2:173" ht="14" x14ac:dyDescent="0.15">
      <c r="B196" s="182" t="s">
        <v>441</v>
      </c>
      <c r="C196" s="157"/>
      <c r="D196" s="295"/>
      <c r="E196" s="295">
        <v>3395</v>
      </c>
      <c r="F196" s="295">
        <v>2638</v>
      </c>
      <c r="G196" s="295"/>
      <c r="H196" s="296">
        <v>95</v>
      </c>
      <c r="I196" s="296">
        <v>70</v>
      </c>
      <c r="J196" s="296"/>
      <c r="K196" s="296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57"/>
      <c r="Z196" s="157"/>
      <c r="AA196" s="157"/>
      <c r="AB196" s="307"/>
      <c r="AC196" s="307"/>
      <c r="AD196" s="307"/>
      <c r="AE196" s="157"/>
      <c r="AF196" s="309">
        <v>0.42</v>
      </c>
      <c r="AG196" s="309">
        <v>0.1</v>
      </c>
      <c r="AH196" s="309">
        <v>0.72</v>
      </c>
      <c r="AI196" s="309">
        <v>0.53</v>
      </c>
      <c r="AJ196" s="309">
        <v>1.49</v>
      </c>
      <c r="AK196" s="309">
        <v>0.25</v>
      </c>
      <c r="AL196" s="309">
        <v>0.37</v>
      </c>
      <c r="AM196" s="309">
        <v>80</v>
      </c>
      <c r="AN196" s="309">
        <v>0.06</v>
      </c>
      <c r="AO196" s="309">
        <v>0.45</v>
      </c>
      <c r="AP196" s="309">
        <v>0.6</v>
      </c>
      <c r="AQ196" s="309">
        <v>0.62</v>
      </c>
      <c r="AR196" s="309">
        <v>0.06</v>
      </c>
      <c r="AS196" s="309">
        <v>0.94</v>
      </c>
      <c r="AT196" s="309">
        <v>0.5</v>
      </c>
      <c r="AU196" s="309">
        <v>0.33</v>
      </c>
      <c r="AV196" s="309">
        <v>0.23</v>
      </c>
      <c r="AW196" s="309">
        <v>0.16</v>
      </c>
      <c r="AX196" s="157"/>
      <c r="AY196" s="350"/>
      <c r="AZ196" s="350">
        <v>45.2</v>
      </c>
      <c r="BA196" s="350">
        <v>42.3</v>
      </c>
      <c r="BB196" s="300">
        <v>75</v>
      </c>
      <c r="BC196" s="300">
        <v>44.8</v>
      </c>
      <c r="BD196" s="300">
        <v>84</v>
      </c>
      <c r="BE196" s="300">
        <v>43</v>
      </c>
      <c r="BF196" s="300">
        <v>52</v>
      </c>
      <c r="BG196" s="300">
        <v>100</v>
      </c>
      <c r="BH196" s="300">
        <v>62.8</v>
      </c>
      <c r="BI196" s="300">
        <v>47.6</v>
      </c>
      <c r="BJ196" s="300">
        <v>43.1</v>
      </c>
      <c r="BK196" s="300">
        <v>45.5</v>
      </c>
      <c r="BL196" s="300">
        <v>33</v>
      </c>
      <c r="BM196" s="350">
        <v>53</v>
      </c>
      <c r="BN196" s="350">
        <v>26</v>
      </c>
      <c r="BO196" s="350">
        <v>45</v>
      </c>
      <c r="BP196" s="350">
        <v>50</v>
      </c>
      <c r="BQ196" s="350">
        <v>60</v>
      </c>
      <c r="BR196" s="157"/>
      <c r="BS196" s="303">
        <v>0.01</v>
      </c>
      <c r="BT196" s="303"/>
      <c r="BU196" s="303">
        <v>0.48</v>
      </c>
      <c r="BV196" s="303">
        <v>0.04</v>
      </c>
      <c r="BW196" s="303">
        <v>0.01</v>
      </c>
      <c r="BX196" s="303">
        <v>0.88</v>
      </c>
      <c r="BY196" s="304">
        <v>2.54</v>
      </c>
      <c r="BZ196" s="157"/>
      <c r="CA196" s="305"/>
      <c r="CB196" s="305"/>
      <c r="CC196" s="305">
        <v>96.9</v>
      </c>
      <c r="CD196" s="306"/>
      <c r="CE196" s="306"/>
      <c r="CF196" s="306"/>
      <c r="CG196" s="305"/>
      <c r="CH196" s="307"/>
      <c r="CI196" s="304"/>
      <c r="CJ196" s="304"/>
      <c r="CK196" s="304"/>
      <c r="CL196" s="304"/>
      <c r="CM196" s="304"/>
      <c r="CN196" s="304"/>
      <c r="CO196" s="304"/>
      <c r="CP196" s="304"/>
      <c r="CQ196" s="304"/>
      <c r="CR196" s="304"/>
      <c r="CS196" s="304"/>
      <c r="CT196" s="304"/>
      <c r="CU196" s="157"/>
      <c r="CV196" s="309"/>
      <c r="CW196" s="309">
        <f t="shared" si="225"/>
        <v>0.18984000000000001</v>
      </c>
      <c r="CX196" s="309">
        <f t="shared" si="226"/>
        <v>4.2299999999999997E-2</v>
      </c>
      <c r="CY196" s="309">
        <f t="shared" si="227"/>
        <v>0.54</v>
      </c>
      <c r="CZ196" s="309">
        <f t="shared" si="228"/>
        <v>0.23743999999999998</v>
      </c>
      <c r="DA196" s="309">
        <f t="shared" si="229"/>
        <v>1.2516</v>
      </c>
      <c r="DB196" s="309">
        <f t="shared" si="230"/>
        <v>0.1075</v>
      </c>
      <c r="DC196" s="309">
        <f t="shared" si="231"/>
        <v>0.1273</v>
      </c>
      <c r="DD196" s="309">
        <f t="shared" si="232"/>
        <v>0.19239999999999999</v>
      </c>
      <c r="DE196" s="309">
        <f t="shared" si="233"/>
        <v>0.28839999999999999</v>
      </c>
      <c r="DF196" s="309">
        <f t="shared" si="234"/>
        <v>80</v>
      </c>
      <c r="DG196" s="309">
        <f t="shared" si="235"/>
        <v>3.7679999999999998E-2</v>
      </c>
      <c r="DH196" s="308">
        <f t="shared" si="191"/>
        <v>0.21420000000000003</v>
      </c>
      <c r="DI196" s="308">
        <f t="shared" si="192"/>
        <v>0.2586</v>
      </c>
      <c r="DJ196" s="308">
        <f t="shared" si="193"/>
        <v>0.28210000000000002</v>
      </c>
      <c r="DK196" s="308">
        <f t="shared" si="194"/>
        <v>1.9799999999999998E-2</v>
      </c>
      <c r="DL196" s="308">
        <f t="shared" si="195"/>
        <v>0.49819999999999998</v>
      </c>
      <c r="DM196" s="308">
        <f t="shared" si="196"/>
        <v>0.13</v>
      </c>
      <c r="DN196" s="308">
        <f t="shared" si="197"/>
        <v>0.14850000000000002</v>
      </c>
      <c r="DO196" s="308">
        <f t="shared" si="198"/>
        <v>0.115</v>
      </c>
      <c r="DP196" s="308">
        <f t="shared" si="199"/>
        <v>9.6000000000000002E-2</v>
      </c>
      <c r="DQ196" s="330">
        <f t="shared" si="209"/>
        <v>0</v>
      </c>
      <c r="DR196" s="330">
        <f t="shared" si="210"/>
        <v>0.85272000000000003</v>
      </c>
      <c r="DS196" s="330">
        <f t="shared" si="211"/>
        <v>0</v>
      </c>
      <c r="DT196" s="330">
        <f t="shared" si="212"/>
        <v>0</v>
      </c>
      <c r="DU196" s="295"/>
      <c r="DV196" s="295"/>
      <c r="DW196" s="311"/>
      <c r="DX196" s="312"/>
      <c r="DY196" s="295"/>
      <c r="DZ196" s="295"/>
      <c r="EA196" s="295"/>
      <c r="EB196" s="314">
        <f t="shared" si="213"/>
        <v>0</v>
      </c>
      <c r="EC196" s="295"/>
      <c r="ED196" s="295"/>
      <c r="EE196" s="295"/>
      <c r="EF196" s="295"/>
      <c r="EG196" s="347"/>
      <c r="EH196" s="295"/>
      <c r="EI196" s="295"/>
      <c r="EJ196" s="295"/>
      <c r="EK196" s="356"/>
      <c r="EL196" s="356"/>
      <c r="EM196" s="356"/>
      <c r="EN196" s="356"/>
      <c r="EO196" s="356"/>
      <c r="EP196" s="356"/>
      <c r="EQ196" s="295"/>
      <c r="ER196" s="295"/>
      <c r="ES196" s="318"/>
      <c r="ET196" s="318"/>
      <c r="EU196" s="318"/>
      <c r="EV196" s="318"/>
      <c r="EW196" s="318"/>
      <c r="EX196" s="318"/>
      <c r="EY196" s="318"/>
      <c r="EZ196" s="318"/>
      <c r="FA196" s="318"/>
      <c r="FB196" s="318"/>
      <c r="FC196" s="318"/>
      <c r="FD196" s="318"/>
      <c r="FE196" s="295"/>
      <c r="FF196" s="295"/>
      <c r="FG196" s="295"/>
      <c r="FH196" s="295"/>
      <c r="FI196" s="295"/>
      <c r="FJ196" s="295"/>
      <c r="FK196" s="295"/>
      <c r="FL196" s="295"/>
      <c r="FM196" s="335">
        <f t="shared" si="134"/>
        <v>0.90212264150943411</v>
      </c>
      <c r="FN196" s="335">
        <f t="shared" si="135"/>
        <v>2.2742587601078168</v>
      </c>
      <c r="FO196" s="338">
        <f t="shared" si="136"/>
        <v>0.39666666666666667</v>
      </c>
      <c r="FP196" s="338">
        <f t="shared" si="137"/>
        <v>0.15869272237196766</v>
      </c>
      <c r="FQ196" s="339">
        <f t="shared" si="138"/>
        <v>3.3919999999999996E-3</v>
      </c>
    </row>
    <row r="197" spans="2:173" ht="28" x14ac:dyDescent="0.15">
      <c r="B197" s="182" t="s">
        <v>442</v>
      </c>
      <c r="C197" s="157"/>
      <c r="D197" s="295"/>
      <c r="E197" s="295"/>
      <c r="F197" s="295"/>
      <c r="G197" s="295"/>
      <c r="H197" s="296"/>
      <c r="I197" s="296"/>
      <c r="J197" s="296"/>
      <c r="K197" s="296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57"/>
      <c r="Z197" s="157"/>
      <c r="AA197" s="157"/>
      <c r="AB197" s="307"/>
      <c r="AC197" s="307"/>
      <c r="AD197" s="307"/>
      <c r="AE197" s="157"/>
      <c r="AF197" s="309"/>
      <c r="AG197" s="309"/>
      <c r="AH197" s="309"/>
      <c r="AI197" s="309"/>
      <c r="AJ197" s="309"/>
      <c r="AK197" s="309"/>
      <c r="AL197" s="309"/>
      <c r="AM197" s="309"/>
      <c r="AN197" s="309"/>
      <c r="AO197" s="309"/>
      <c r="AP197" s="309"/>
      <c r="AQ197" s="309"/>
      <c r="AR197" s="309"/>
      <c r="AS197" s="309"/>
      <c r="AT197" s="309"/>
      <c r="AU197" s="309"/>
      <c r="AV197" s="309"/>
      <c r="AW197" s="309"/>
      <c r="AX197" s="157"/>
      <c r="AY197" s="350"/>
      <c r="AZ197" s="350"/>
      <c r="BA197" s="350"/>
      <c r="BB197" s="300"/>
      <c r="BC197" s="300"/>
      <c r="BD197" s="300"/>
      <c r="BE197" s="300"/>
      <c r="BF197" s="300"/>
      <c r="BG197" s="300"/>
      <c r="BH197" s="300"/>
      <c r="BI197" s="300"/>
      <c r="BJ197" s="300"/>
      <c r="BK197" s="300"/>
      <c r="BL197" s="300"/>
      <c r="BM197" s="350"/>
      <c r="BN197" s="350"/>
      <c r="BO197" s="350"/>
      <c r="BP197" s="350"/>
      <c r="BQ197" s="350"/>
      <c r="BR197" s="157"/>
      <c r="BS197" s="303"/>
      <c r="BT197" s="303">
        <v>15</v>
      </c>
      <c r="BU197" s="303"/>
      <c r="BV197" s="303"/>
      <c r="BW197" s="303"/>
      <c r="BX197" s="303"/>
      <c r="BY197" s="304"/>
      <c r="BZ197" s="157"/>
      <c r="CA197" s="305"/>
      <c r="CB197" s="305"/>
      <c r="CC197" s="305"/>
      <c r="CD197" s="306"/>
      <c r="CE197" s="306"/>
      <c r="CF197" s="306"/>
      <c r="CG197" s="305"/>
      <c r="CH197" s="307"/>
      <c r="CI197" s="304"/>
      <c r="CJ197" s="304"/>
      <c r="CK197" s="304"/>
      <c r="CL197" s="304"/>
      <c r="CM197" s="304"/>
      <c r="CN197" s="304"/>
      <c r="CO197" s="304"/>
      <c r="CP197" s="304"/>
      <c r="CQ197" s="304"/>
      <c r="CR197" s="304"/>
      <c r="CS197" s="304"/>
      <c r="CT197" s="304"/>
      <c r="CU197" s="157"/>
      <c r="CV197" s="309"/>
      <c r="CW197" s="309">
        <f t="shared" ref="CW197:CW198" si="236">AF197*AZ197/100</f>
        <v>0</v>
      </c>
      <c r="CX197" s="309">
        <f t="shared" ref="CX197:CX198" si="237">AG197*BA197/100</f>
        <v>0</v>
      </c>
      <c r="CY197" s="309">
        <f t="shared" ref="CY197:CY198" si="238">AH197*BB197/100</f>
        <v>0</v>
      </c>
      <c r="CZ197" s="309">
        <f t="shared" ref="CZ197:CZ198" si="239">AI197*BC197/100</f>
        <v>0</v>
      </c>
      <c r="DA197" s="309">
        <f t="shared" ref="DA197:DA198" si="240">AJ197*BD197/100</f>
        <v>0</v>
      </c>
      <c r="DB197" s="309">
        <f t="shared" ref="DB197:DB198" si="241">AK197*BE197/100</f>
        <v>0</v>
      </c>
      <c r="DC197" s="309">
        <f t="shared" ref="DC197:DC198" si="242">(AK197*BE197+BL197*AR197)/100</f>
        <v>0</v>
      </c>
      <c r="DD197" s="309">
        <f t="shared" ref="DD197:DD198" si="243">AL197*BF197/100</f>
        <v>0</v>
      </c>
      <c r="DE197" s="309">
        <f t="shared" ref="DE197:DE198" si="244">DD197+BQ197*AW197/100</f>
        <v>0</v>
      </c>
      <c r="DF197" s="309">
        <f t="shared" ref="DF197:DF198" si="245">AM197*BG197/100</f>
        <v>0</v>
      </c>
      <c r="DG197" s="309">
        <f t="shared" ref="DG197:DG198" si="246">AN197*BH197/100</f>
        <v>0</v>
      </c>
      <c r="DH197" s="308">
        <f t="shared" si="191"/>
        <v>0</v>
      </c>
      <c r="DI197" s="308">
        <f t="shared" si="192"/>
        <v>0</v>
      </c>
      <c r="DJ197" s="308">
        <f t="shared" si="193"/>
        <v>0</v>
      </c>
      <c r="DK197" s="308">
        <f t="shared" si="194"/>
        <v>0</v>
      </c>
      <c r="DL197" s="308">
        <f t="shared" si="195"/>
        <v>0</v>
      </c>
      <c r="DM197" s="308">
        <f t="shared" si="196"/>
        <v>0</v>
      </c>
      <c r="DN197" s="308">
        <f t="shared" si="197"/>
        <v>0</v>
      </c>
      <c r="DO197" s="308">
        <f t="shared" si="198"/>
        <v>0</v>
      </c>
      <c r="DP197" s="308">
        <f t="shared" si="199"/>
        <v>0</v>
      </c>
      <c r="DQ197" s="330">
        <f t="shared" si="209"/>
        <v>0</v>
      </c>
      <c r="DR197" s="330">
        <f t="shared" si="210"/>
        <v>0</v>
      </c>
      <c r="DS197" s="330">
        <f t="shared" si="211"/>
        <v>0</v>
      </c>
      <c r="DT197" s="330">
        <f t="shared" si="212"/>
        <v>0</v>
      </c>
      <c r="DU197" s="295"/>
      <c r="DV197" s="295"/>
      <c r="DW197" s="311">
        <v>900</v>
      </c>
      <c r="DX197" s="312">
        <v>0.45</v>
      </c>
      <c r="DY197" s="295"/>
      <c r="DZ197" s="295"/>
      <c r="EA197" s="295"/>
      <c r="EB197" s="314">
        <f t="shared" si="213"/>
        <v>0</v>
      </c>
      <c r="EC197" s="295"/>
      <c r="ED197" s="295"/>
      <c r="EE197" s="295"/>
      <c r="EF197" s="295"/>
      <c r="EG197" s="347"/>
      <c r="EH197" s="295"/>
      <c r="EI197" s="295"/>
      <c r="EJ197" s="295"/>
      <c r="EK197" s="356"/>
      <c r="EL197" s="356"/>
      <c r="EM197" s="356"/>
      <c r="EN197" s="356">
        <v>0.54</v>
      </c>
      <c r="EO197" s="356"/>
      <c r="EP197" s="356"/>
      <c r="EQ197" s="295"/>
      <c r="ER197" s="295"/>
      <c r="ES197" s="318"/>
      <c r="ET197" s="318"/>
      <c r="EU197" s="318"/>
      <c r="EV197" s="318"/>
      <c r="EW197" s="318"/>
      <c r="EX197" s="318"/>
      <c r="EY197" s="318"/>
      <c r="EZ197" s="318"/>
      <c r="FA197" s="318"/>
      <c r="FB197" s="318"/>
      <c r="FC197" s="318"/>
      <c r="FD197" s="318"/>
      <c r="FE197" s="295"/>
      <c r="FF197" s="295"/>
      <c r="FG197" s="295"/>
      <c r="FH197" s="295"/>
      <c r="FI197" s="295"/>
      <c r="FJ197" s="295"/>
      <c r="FK197" s="295"/>
      <c r="FL197" s="295"/>
      <c r="FM197" s="335" t="e">
        <f t="shared" si="134"/>
        <v>#DIV/0!</v>
      </c>
      <c r="FN197" s="335" t="e">
        <f t="shared" si="135"/>
        <v>#DIV/0!</v>
      </c>
      <c r="FO197" s="338" t="e">
        <f t="shared" si="136"/>
        <v>#DIV/0!</v>
      </c>
      <c r="FP197" s="338" t="e">
        <f t="shared" si="137"/>
        <v>#DIV/0!</v>
      </c>
      <c r="FQ197" s="339" t="e">
        <f t="shared" si="138"/>
        <v>#DIV/0!</v>
      </c>
    </row>
    <row r="198" spans="2:173" ht="14" x14ac:dyDescent="0.15">
      <c r="B198" s="182" t="s">
        <v>443</v>
      </c>
      <c r="C198" s="157">
        <v>4849</v>
      </c>
      <c r="D198" s="295">
        <v>3465</v>
      </c>
      <c r="E198" s="295">
        <v>3459</v>
      </c>
      <c r="F198" s="295">
        <v>2252</v>
      </c>
      <c r="G198" s="295"/>
      <c r="H198" s="296">
        <v>91.1</v>
      </c>
      <c r="I198" s="296">
        <v>28.98</v>
      </c>
      <c r="J198" s="296">
        <v>7.36</v>
      </c>
      <c r="K198" s="296">
        <v>6.53</v>
      </c>
      <c r="L198" s="157"/>
      <c r="M198" s="307">
        <v>4.84</v>
      </c>
      <c r="N198" s="307"/>
      <c r="O198" s="307">
        <v>1.004</v>
      </c>
      <c r="P198" s="307">
        <v>1.0189999999999999</v>
      </c>
      <c r="Q198" s="307">
        <v>0.84299999999999997</v>
      </c>
      <c r="R198" s="157"/>
      <c r="S198" s="157"/>
      <c r="T198" s="307">
        <v>3.24</v>
      </c>
      <c r="U198" s="307">
        <v>30.4</v>
      </c>
      <c r="V198" s="307">
        <v>14.7</v>
      </c>
      <c r="W198" s="307">
        <v>2.69</v>
      </c>
      <c r="X198" s="307">
        <v>32.32</v>
      </c>
      <c r="Y198" s="157"/>
      <c r="Z198" s="157"/>
      <c r="AA198" s="157"/>
      <c r="AB198" s="307">
        <v>40.71</v>
      </c>
      <c r="AC198" s="307">
        <v>70</v>
      </c>
      <c r="AD198" s="307">
        <v>43.7</v>
      </c>
      <c r="AE198" s="157"/>
      <c r="AF198" s="309">
        <v>1.29</v>
      </c>
      <c r="AG198" s="309">
        <v>0.73</v>
      </c>
      <c r="AH198" s="309">
        <v>1.1000000000000001</v>
      </c>
      <c r="AI198" s="309">
        <v>3.25</v>
      </c>
      <c r="AJ198" s="309">
        <v>0.87</v>
      </c>
      <c r="AK198" s="309">
        <v>0.56000000000000005</v>
      </c>
      <c r="AL198" s="309">
        <v>1.42</v>
      </c>
      <c r="AM198" s="309">
        <v>1.0900000000000001</v>
      </c>
      <c r="AN198" s="309">
        <v>0.25</v>
      </c>
      <c r="AO198" s="309">
        <v>1.38</v>
      </c>
      <c r="AP198" s="309">
        <v>2.06</v>
      </c>
      <c r="AQ198" s="309">
        <v>1.94</v>
      </c>
      <c r="AR198" s="309">
        <v>0.52</v>
      </c>
      <c r="AS198" s="309">
        <v>5.0199999999999996</v>
      </c>
      <c r="AT198" s="309">
        <v>1.1000000000000001</v>
      </c>
      <c r="AU198" s="309">
        <v>2.2200000000000002</v>
      </c>
      <c r="AV198" s="309">
        <v>1.43</v>
      </c>
      <c r="AW198" s="309">
        <v>0.97</v>
      </c>
      <c r="AX198" s="157"/>
      <c r="AY198" s="350">
        <v>74</v>
      </c>
      <c r="AZ198" s="350">
        <v>81</v>
      </c>
      <c r="BA198" s="350">
        <v>78</v>
      </c>
      <c r="BB198" s="300">
        <v>76</v>
      </c>
      <c r="BC198" s="300">
        <v>84</v>
      </c>
      <c r="BD198" s="300">
        <v>61</v>
      </c>
      <c r="BE198" s="300">
        <v>82</v>
      </c>
      <c r="BF198" s="300">
        <v>81</v>
      </c>
      <c r="BG198" s="300">
        <v>71</v>
      </c>
      <c r="BH198" s="300">
        <v>71</v>
      </c>
      <c r="BI198" s="300">
        <v>75</v>
      </c>
      <c r="BJ198" s="300">
        <v>79</v>
      </c>
      <c r="BK198" s="300">
        <v>69</v>
      </c>
      <c r="BL198" s="300">
        <v>73</v>
      </c>
      <c r="BM198" s="350">
        <v>81</v>
      </c>
      <c r="BN198" s="350">
        <v>64</v>
      </c>
      <c r="BO198" s="350">
        <v>74</v>
      </c>
      <c r="BP198" s="350">
        <v>77</v>
      </c>
      <c r="BQ198" s="350">
        <v>81</v>
      </c>
      <c r="BR198" s="157"/>
      <c r="BS198" s="303">
        <v>0.12</v>
      </c>
      <c r="BT198" s="303"/>
      <c r="BU198" s="303">
        <v>0.9</v>
      </c>
      <c r="BV198" s="303">
        <v>0.28999999999999998</v>
      </c>
      <c r="BW198" s="303">
        <v>0.22</v>
      </c>
      <c r="BX198" s="303">
        <v>0.73</v>
      </c>
      <c r="BY198" s="304">
        <v>0.66</v>
      </c>
      <c r="BZ198" s="157"/>
      <c r="CA198" s="305">
        <v>0.26</v>
      </c>
      <c r="CB198" s="306">
        <v>60</v>
      </c>
      <c r="CC198" s="306">
        <v>65</v>
      </c>
      <c r="CD198" s="306">
        <v>50</v>
      </c>
      <c r="CE198" s="306">
        <v>60</v>
      </c>
      <c r="CF198" s="306">
        <v>28.5</v>
      </c>
      <c r="CG198" s="305"/>
      <c r="CH198" s="307">
        <v>17.491</v>
      </c>
      <c r="CI198" s="304">
        <v>0.85799999999999998</v>
      </c>
      <c r="CJ198" s="304">
        <v>0.52500000000000002</v>
      </c>
      <c r="CK198" s="304">
        <v>0.73399999999999999</v>
      </c>
      <c r="CL198" s="304">
        <v>2.5670000000000002</v>
      </c>
      <c r="CM198" s="304">
        <v>0.42399999999999999</v>
      </c>
      <c r="CN198" s="304">
        <v>0.44</v>
      </c>
      <c r="CO198" s="304">
        <v>0.79200000000000004</v>
      </c>
      <c r="CP198" s="304">
        <v>1.0449999999999999</v>
      </c>
      <c r="CQ198" s="304">
        <v>1.8560000000000001</v>
      </c>
      <c r="CR198" s="304">
        <v>0.63400000000000001</v>
      </c>
      <c r="CS198" s="304">
        <v>0.13200000000000001</v>
      </c>
      <c r="CT198" s="304">
        <v>0.95899999999999996</v>
      </c>
      <c r="CU198" s="157"/>
      <c r="CV198" s="309"/>
      <c r="CW198" s="309">
        <f t="shared" si="236"/>
        <v>1.0449000000000002</v>
      </c>
      <c r="CX198" s="309">
        <f t="shared" si="237"/>
        <v>0.56940000000000002</v>
      </c>
      <c r="CY198" s="309">
        <f t="shared" si="238"/>
        <v>0.83600000000000008</v>
      </c>
      <c r="CZ198" s="309">
        <f t="shared" si="239"/>
        <v>2.73</v>
      </c>
      <c r="DA198" s="309">
        <f t="shared" si="240"/>
        <v>0.53069999999999995</v>
      </c>
      <c r="DB198" s="309">
        <f t="shared" si="241"/>
        <v>0.4592</v>
      </c>
      <c r="DC198" s="309">
        <f t="shared" si="242"/>
        <v>0.83879999999999999</v>
      </c>
      <c r="DD198" s="309">
        <f t="shared" si="243"/>
        <v>1.1501999999999999</v>
      </c>
      <c r="DE198" s="309">
        <f t="shared" si="244"/>
        <v>1.9358999999999997</v>
      </c>
      <c r="DF198" s="309">
        <f t="shared" si="245"/>
        <v>0.77390000000000003</v>
      </c>
      <c r="DG198" s="309">
        <f t="shared" si="246"/>
        <v>0.17749999999999999</v>
      </c>
      <c r="DH198" s="308">
        <f t="shared" si="191"/>
        <v>1.0349999999999999</v>
      </c>
      <c r="DI198" s="308">
        <f t="shared" si="192"/>
        <v>1.6274000000000002</v>
      </c>
      <c r="DJ198" s="308">
        <f t="shared" si="193"/>
        <v>1.3385999999999998</v>
      </c>
      <c r="DK198" s="308">
        <f t="shared" si="194"/>
        <v>0.37959999999999999</v>
      </c>
      <c r="DL198" s="308">
        <f t="shared" si="195"/>
        <v>4.0661999999999994</v>
      </c>
      <c r="DM198" s="308">
        <f t="shared" si="196"/>
        <v>0.70400000000000007</v>
      </c>
      <c r="DN198" s="308">
        <f t="shared" si="197"/>
        <v>1.6428</v>
      </c>
      <c r="DO198" s="308">
        <f t="shared" si="198"/>
        <v>1.1011</v>
      </c>
      <c r="DP198" s="308">
        <f t="shared" si="199"/>
        <v>0.78569999999999995</v>
      </c>
      <c r="DQ198" s="330">
        <f t="shared" si="209"/>
        <v>0.43799999999999994</v>
      </c>
      <c r="DR198" s="330">
        <f t="shared" si="210"/>
        <v>0.47449999999999998</v>
      </c>
      <c r="DS198" s="330">
        <f t="shared" si="211"/>
        <v>0.06</v>
      </c>
      <c r="DT198" s="330">
        <f t="shared" si="212"/>
        <v>7.1999999999999995E-2</v>
      </c>
      <c r="DU198" s="295"/>
      <c r="DV198" s="295"/>
      <c r="DW198" s="311">
        <v>150</v>
      </c>
      <c r="DX198" s="312">
        <v>7.4999999999999997E-2</v>
      </c>
      <c r="DY198" s="295"/>
      <c r="DZ198" s="295"/>
      <c r="EA198" s="319">
        <v>0.77</v>
      </c>
      <c r="EB198" s="314">
        <f t="shared" si="213"/>
        <v>0.56210000000000004</v>
      </c>
      <c r="EC198" s="295">
        <v>3.8527</v>
      </c>
      <c r="ED198" s="295"/>
      <c r="EE198" s="295"/>
      <c r="EF198" s="295"/>
      <c r="EG198" s="347">
        <v>0.18</v>
      </c>
      <c r="EH198" s="295">
        <v>81.625</v>
      </c>
      <c r="EI198" s="295">
        <v>37.81</v>
      </c>
      <c r="EJ198" s="295"/>
      <c r="EK198" s="352"/>
      <c r="EL198" s="352"/>
      <c r="EM198" s="352"/>
      <c r="EN198" s="352"/>
      <c r="EO198" s="352"/>
      <c r="EP198" s="352"/>
      <c r="EQ198" s="319"/>
      <c r="ER198" s="295"/>
      <c r="ES198" s="318"/>
      <c r="ET198" s="318"/>
      <c r="EU198" s="318"/>
      <c r="EV198" s="318"/>
      <c r="EW198" s="318"/>
      <c r="EX198" s="318"/>
      <c r="EY198" s="318"/>
      <c r="EZ198" s="318"/>
      <c r="FA198" s="318"/>
      <c r="FB198" s="318"/>
      <c r="FC198" s="318"/>
      <c r="FD198" s="318"/>
      <c r="FE198" s="295"/>
      <c r="FF198" s="295"/>
      <c r="FG198" s="295">
        <v>4.2</v>
      </c>
      <c r="FH198" s="295">
        <v>88.5</v>
      </c>
      <c r="FI198" s="295">
        <v>56.21</v>
      </c>
      <c r="FJ198" s="295">
        <v>1.22</v>
      </c>
      <c r="FK198" s="295">
        <v>3.75</v>
      </c>
      <c r="FL198" s="295"/>
      <c r="FM198" s="335">
        <f t="shared" si="134"/>
        <v>0.37912087912087911</v>
      </c>
      <c r="FN198" s="335">
        <f t="shared" si="135"/>
        <v>0.30622710622710625</v>
      </c>
      <c r="FO198" s="338">
        <f t="shared" si="136"/>
        <v>1.2380382775119616</v>
      </c>
      <c r="FP198" s="338">
        <f t="shared" si="137"/>
        <v>6.5018315018315009E-2</v>
      </c>
      <c r="FQ198" s="339">
        <f t="shared" si="138"/>
        <v>9.420289855072464E-2</v>
      </c>
    </row>
    <row r="199" spans="2:173" ht="14" x14ac:dyDescent="0.15">
      <c r="B199" s="182" t="s">
        <v>444</v>
      </c>
      <c r="C199" s="157"/>
      <c r="D199" s="295"/>
      <c r="E199" s="295"/>
      <c r="F199" s="295"/>
      <c r="G199" s="295"/>
      <c r="H199" s="296"/>
      <c r="I199" s="296"/>
      <c r="J199" s="296"/>
      <c r="K199" s="296"/>
      <c r="L199" s="157"/>
      <c r="M199" s="307"/>
      <c r="N199" s="307"/>
      <c r="O199" s="307"/>
      <c r="P199" s="307"/>
      <c r="Q199" s="307"/>
      <c r="R199" s="157"/>
      <c r="S199" s="157"/>
      <c r="T199" s="157"/>
      <c r="U199" s="157"/>
      <c r="V199" s="157"/>
      <c r="W199" s="157"/>
      <c r="X199" s="157"/>
      <c r="Y199" s="157"/>
      <c r="Z199" s="157"/>
      <c r="AA199" s="157"/>
      <c r="AB199" s="157"/>
      <c r="AC199" s="157"/>
      <c r="AD199" s="157"/>
      <c r="AE199" s="157"/>
      <c r="AF199" s="157"/>
      <c r="AG199" s="157"/>
      <c r="AH199" s="157"/>
      <c r="AI199" s="157"/>
      <c r="AJ199" s="157"/>
      <c r="AK199" s="157"/>
      <c r="AL199" s="157"/>
      <c r="AM199" s="157"/>
      <c r="AN199" s="157"/>
      <c r="AO199" s="157"/>
      <c r="AP199" s="157"/>
      <c r="AQ199" s="157"/>
      <c r="AR199" s="157"/>
      <c r="AS199" s="157"/>
      <c r="AT199" s="157"/>
      <c r="AU199" s="157"/>
      <c r="AV199" s="157"/>
      <c r="AW199" s="157"/>
      <c r="AX199" s="157"/>
      <c r="AY199" s="157"/>
      <c r="AZ199" s="157"/>
      <c r="BA199" s="157"/>
      <c r="BB199" s="295"/>
      <c r="BC199" s="295"/>
      <c r="BD199" s="295"/>
      <c r="BE199" s="295"/>
      <c r="BF199" s="295"/>
      <c r="BG199" s="295"/>
      <c r="BH199" s="295"/>
      <c r="BI199" s="295"/>
      <c r="BJ199" s="295"/>
      <c r="BK199" s="295"/>
      <c r="BL199" s="295"/>
      <c r="BM199" s="157"/>
      <c r="BN199" s="157"/>
      <c r="BO199" s="157"/>
      <c r="BP199" s="157"/>
      <c r="BQ199" s="157"/>
      <c r="BR199" s="157"/>
      <c r="BS199" s="303"/>
      <c r="BT199" s="303"/>
      <c r="BU199" s="303"/>
      <c r="BV199" s="303"/>
      <c r="BW199" s="303"/>
      <c r="BX199" s="303"/>
      <c r="BY199" s="304"/>
      <c r="BZ199" s="157"/>
      <c r="CA199" s="305"/>
      <c r="CB199" s="306"/>
      <c r="CC199" s="306"/>
      <c r="CD199" s="306"/>
      <c r="CE199" s="306"/>
      <c r="CF199" s="306"/>
      <c r="CG199" s="305"/>
      <c r="CH199" s="307"/>
      <c r="CI199" s="304"/>
      <c r="CJ199" s="304"/>
      <c r="CK199" s="304"/>
      <c r="CL199" s="304"/>
      <c r="CM199" s="304"/>
      <c r="CN199" s="304"/>
      <c r="CO199" s="304"/>
      <c r="CP199" s="304"/>
      <c r="CQ199" s="304"/>
      <c r="CR199" s="304"/>
      <c r="CS199" s="304"/>
      <c r="CT199" s="304"/>
      <c r="CU199" s="157"/>
      <c r="CV199" s="309"/>
      <c r="CW199" s="309">
        <f t="shared" ref="CW199:CW207" si="247">AF199*AZ199/100</f>
        <v>0</v>
      </c>
      <c r="CX199" s="309">
        <f t="shared" ref="CX199:CX207" si="248">AG199*BA199/100</f>
        <v>0</v>
      </c>
      <c r="CY199" s="309">
        <f t="shared" ref="CY199:CY207" si="249">AH199*BB199/100</f>
        <v>0</v>
      </c>
      <c r="CZ199" s="309">
        <f t="shared" ref="CZ199:CZ207" si="250">AI199*BC199/100</f>
        <v>0</v>
      </c>
      <c r="DA199" s="309">
        <f t="shared" ref="DA199:DA207" si="251">AJ199*BD199/100</f>
        <v>0</v>
      </c>
      <c r="DB199" s="309">
        <f t="shared" ref="DB199:DB207" si="252">AK199*BE199/100</f>
        <v>0</v>
      </c>
      <c r="DC199" s="309">
        <f t="shared" ref="DC199:DC207" si="253">(AK199*BE199+BL199*AR199)/100</f>
        <v>0</v>
      </c>
      <c r="DD199" s="309">
        <f t="shared" ref="DD199:DD207" si="254">AL199*BF199/100</f>
        <v>0</v>
      </c>
      <c r="DE199" s="309">
        <f t="shared" ref="DE199:DE207" si="255">DD199+BQ199*AW199/100</f>
        <v>0</v>
      </c>
      <c r="DF199" s="309">
        <f t="shared" ref="DF199:DF207" si="256">AM199*BG199/100</f>
        <v>0</v>
      </c>
      <c r="DG199" s="309">
        <f t="shared" ref="DG199:DG207" si="257">AN199*BH199/100</f>
        <v>0</v>
      </c>
      <c r="DH199" s="308">
        <f t="shared" ref="DH199:DH207" si="258">AO199*BI199/100</f>
        <v>0</v>
      </c>
      <c r="DI199" s="308">
        <f t="shared" ref="DI199:DI207" si="259">AP199*BJ199/100</f>
        <v>0</v>
      </c>
      <c r="DJ199" s="308">
        <f t="shared" ref="DJ199:DJ207" si="260">AQ199*BK199/100</f>
        <v>0</v>
      </c>
      <c r="DK199" s="308">
        <f t="shared" ref="DK199:DK207" si="261">AR199*BL199/100</f>
        <v>0</v>
      </c>
      <c r="DL199" s="308">
        <f t="shared" ref="DL199:DL207" si="262">AS199*BM199/100</f>
        <v>0</v>
      </c>
      <c r="DM199" s="308">
        <f t="shared" ref="DM199:DM207" si="263">AT199*BN199/100</f>
        <v>0</v>
      </c>
      <c r="DN199" s="308">
        <f t="shared" ref="DN199:DN207" si="264">AU199*BO199/100</f>
        <v>0</v>
      </c>
      <c r="DO199" s="308">
        <f t="shared" ref="DO199:DO207" si="265">AV199*BP199/100</f>
        <v>0</v>
      </c>
      <c r="DP199" s="308">
        <f t="shared" ref="DP199:DP207" si="266">AW199*BQ199/100</f>
        <v>0</v>
      </c>
      <c r="DQ199" s="330">
        <f t="shared" si="209"/>
        <v>0</v>
      </c>
      <c r="DR199" s="330">
        <f t="shared" si="210"/>
        <v>0</v>
      </c>
      <c r="DS199" s="330">
        <f t="shared" si="211"/>
        <v>0</v>
      </c>
      <c r="DT199" s="330">
        <f t="shared" si="212"/>
        <v>0</v>
      </c>
      <c r="DU199" s="295"/>
      <c r="DV199" s="295"/>
      <c r="DW199" s="311"/>
      <c r="DX199" s="312"/>
      <c r="DY199" s="295"/>
      <c r="DZ199" s="295"/>
      <c r="EA199" s="295"/>
      <c r="EB199" s="314">
        <f t="shared" si="213"/>
        <v>0</v>
      </c>
      <c r="EC199" s="295"/>
      <c r="ED199" s="295"/>
      <c r="EE199" s="295"/>
      <c r="EF199" s="295"/>
      <c r="EG199" s="347"/>
      <c r="EH199" s="295"/>
      <c r="EI199" s="295"/>
      <c r="EJ199" s="295"/>
      <c r="EK199" s="352">
        <v>0.11</v>
      </c>
      <c r="EL199" s="352">
        <v>0.11</v>
      </c>
      <c r="EM199" s="352">
        <v>3.3099999999999997E-2</v>
      </c>
      <c r="EN199" s="352">
        <v>1.6500000000000001E-2</v>
      </c>
      <c r="EO199" s="352">
        <v>2.9999999999999997E-4</v>
      </c>
      <c r="EP199" s="352">
        <v>2.9999999999999997E-4</v>
      </c>
      <c r="EQ199" s="319"/>
      <c r="ER199" s="295"/>
      <c r="ES199" s="318">
        <v>2400000</v>
      </c>
      <c r="ET199" s="318">
        <v>600000</v>
      </c>
      <c r="EU199" s="318">
        <v>12000</v>
      </c>
      <c r="EV199" s="318">
        <v>1200</v>
      </c>
      <c r="EW199" s="318">
        <v>11</v>
      </c>
      <c r="EX199" s="318">
        <v>22500</v>
      </c>
      <c r="EY199" s="318">
        <v>7500</v>
      </c>
      <c r="EZ199" s="318">
        <v>2250</v>
      </c>
      <c r="FA199" s="318"/>
      <c r="FB199" s="318"/>
      <c r="FC199" s="318"/>
      <c r="FD199" s="318"/>
      <c r="FE199" s="295"/>
      <c r="FF199" s="295"/>
      <c r="FG199" s="295"/>
      <c r="FH199" s="295"/>
      <c r="FI199" s="295"/>
      <c r="FJ199" s="295"/>
      <c r="FK199" s="295"/>
      <c r="FL199" s="295"/>
      <c r="FM199" s="335" t="e">
        <f t="shared" si="134"/>
        <v>#DIV/0!</v>
      </c>
      <c r="FN199" s="335" t="e">
        <f t="shared" si="135"/>
        <v>#DIV/0!</v>
      </c>
      <c r="FO199" s="338" t="e">
        <f t="shared" si="136"/>
        <v>#DIV/0!</v>
      </c>
      <c r="FP199" s="338" t="e">
        <f t="shared" si="137"/>
        <v>#DIV/0!</v>
      </c>
      <c r="FQ199" s="339" t="e">
        <f t="shared" si="138"/>
        <v>#DIV/0!</v>
      </c>
    </row>
    <row r="200" spans="2:173" ht="14" x14ac:dyDescent="0.15">
      <c r="B200" s="182" t="s">
        <v>445</v>
      </c>
      <c r="C200" s="157"/>
      <c r="D200" s="295"/>
      <c r="E200" s="295"/>
      <c r="F200" s="295"/>
      <c r="G200" s="295"/>
      <c r="H200" s="296"/>
      <c r="I200" s="296"/>
      <c r="J200" s="296"/>
      <c r="K200" s="296"/>
      <c r="L200" s="157"/>
      <c r="M200" s="307"/>
      <c r="N200" s="307"/>
      <c r="O200" s="307"/>
      <c r="P200" s="307"/>
      <c r="Q200" s="307"/>
      <c r="R200" s="157"/>
      <c r="S200" s="157"/>
      <c r="T200" s="157"/>
      <c r="U200" s="157"/>
      <c r="V200" s="157"/>
      <c r="W200" s="157"/>
      <c r="X200" s="157"/>
      <c r="Y200" s="157"/>
      <c r="Z200" s="157"/>
      <c r="AA200" s="157"/>
      <c r="AB200" s="157"/>
      <c r="AC200" s="157"/>
      <c r="AD200" s="157"/>
      <c r="AE200" s="157"/>
      <c r="AF200" s="157"/>
      <c r="AG200" s="157"/>
      <c r="AH200" s="157"/>
      <c r="AI200" s="157"/>
      <c r="AJ200" s="157"/>
      <c r="AK200" s="157"/>
      <c r="AL200" s="157"/>
      <c r="AM200" s="157"/>
      <c r="AN200" s="157"/>
      <c r="AO200" s="157"/>
      <c r="AP200" s="157"/>
      <c r="AQ200" s="157"/>
      <c r="AR200" s="157"/>
      <c r="AS200" s="157"/>
      <c r="AT200" s="157"/>
      <c r="AU200" s="157"/>
      <c r="AV200" s="157"/>
      <c r="AW200" s="157"/>
      <c r="AX200" s="157"/>
      <c r="AY200" s="157"/>
      <c r="AZ200" s="157"/>
      <c r="BA200" s="157"/>
      <c r="BB200" s="295"/>
      <c r="BC200" s="295"/>
      <c r="BD200" s="295"/>
      <c r="BE200" s="295"/>
      <c r="BF200" s="295"/>
      <c r="BG200" s="295"/>
      <c r="BH200" s="295"/>
      <c r="BI200" s="295"/>
      <c r="BJ200" s="295"/>
      <c r="BK200" s="295"/>
      <c r="BL200" s="295"/>
      <c r="BM200" s="157"/>
      <c r="BN200" s="157"/>
      <c r="BO200" s="157"/>
      <c r="BP200" s="157"/>
      <c r="BQ200" s="157"/>
      <c r="BR200" s="157"/>
      <c r="BS200" s="303">
        <v>8.7899999999999991</v>
      </c>
      <c r="BT200" s="303"/>
      <c r="BU200" s="303"/>
      <c r="BV200" s="303"/>
      <c r="BW200" s="303"/>
      <c r="BX200" s="303"/>
      <c r="BY200" s="304"/>
      <c r="BZ200" s="157"/>
      <c r="CA200" s="305"/>
      <c r="CB200" s="306"/>
      <c r="CC200" s="306"/>
      <c r="CD200" s="306"/>
      <c r="CE200" s="306"/>
      <c r="CF200" s="306"/>
      <c r="CG200" s="305"/>
      <c r="CH200" s="307"/>
      <c r="CI200" s="304"/>
      <c r="CJ200" s="304"/>
      <c r="CK200" s="304"/>
      <c r="CL200" s="304"/>
      <c r="CM200" s="304"/>
      <c r="CN200" s="304"/>
      <c r="CO200" s="304"/>
      <c r="CP200" s="304"/>
      <c r="CQ200" s="304"/>
      <c r="CR200" s="304"/>
      <c r="CS200" s="304"/>
      <c r="CT200" s="304"/>
      <c r="CU200" s="157"/>
      <c r="CV200" s="309"/>
      <c r="CW200" s="309">
        <f t="shared" si="247"/>
        <v>0</v>
      </c>
      <c r="CX200" s="309">
        <f t="shared" si="248"/>
        <v>0</v>
      </c>
      <c r="CY200" s="309">
        <f t="shared" si="249"/>
        <v>0</v>
      </c>
      <c r="CZ200" s="309">
        <f t="shared" si="250"/>
        <v>0</v>
      </c>
      <c r="DA200" s="309">
        <f t="shared" si="251"/>
        <v>0</v>
      </c>
      <c r="DB200" s="309">
        <f t="shared" si="252"/>
        <v>0</v>
      </c>
      <c r="DC200" s="309">
        <f t="shared" si="253"/>
        <v>0</v>
      </c>
      <c r="DD200" s="309">
        <f t="shared" si="254"/>
        <v>0</v>
      </c>
      <c r="DE200" s="309">
        <f t="shared" si="255"/>
        <v>0</v>
      </c>
      <c r="DF200" s="309">
        <f t="shared" si="256"/>
        <v>0</v>
      </c>
      <c r="DG200" s="309">
        <f t="shared" si="257"/>
        <v>0</v>
      </c>
      <c r="DH200" s="308">
        <f t="shared" si="258"/>
        <v>0</v>
      </c>
      <c r="DI200" s="308">
        <f t="shared" si="259"/>
        <v>0</v>
      </c>
      <c r="DJ200" s="308">
        <f t="shared" si="260"/>
        <v>0</v>
      </c>
      <c r="DK200" s="308">
        <f t="shared" si="261"/>
        <v>0</v>
      </c>
      <c r="DL200" s="308">
        <f t="shared" si="262"/>
        <v>0</v>
      </c>
      <c r="DM200" s="308">
        <f t="shared" si="263"/>
        <v>0</v>
      </c>
      <c r="DN200" s="308">
        <f t="shared" si="264"/>
        <v>0</v>
      </c>
      <c r="DO200" s="308">
        <f t="shared" si="265"/>
        <v>0</v>
      </c>
      <c r="DP200" s="308">
        <f t="shared" si="266"/>
        <v>0</v>
      </c>
      <c r="DQ200" s="330">
        <f t="shared" si="209"/>
        <v>0</v>
      </c>
      <c r="DR200" s="330">
        <f t="shared" si="210"/>
        <v>0</v>
      </c>
      <c r="DS200" s="330">
        <f t="shared" si="211"/>
        <v>0</v>
      </c>
      <c r="DT200" s="330">
        <f t="shared" si="212"/>
        <v>0</v>
      </c>
      <c r="DU200" s="295"/>
      <c r="DV200" s="295"/>
      <c r="DW200" s="311"/>
      <c r="DX200" s="312"/>
      <c r="DY200" s="295"/>
      <c r="DZ200" s="295"/>
      <c r="EA200" s="295"/>
      <c r="EB200" s="314">
        <f t="shared" si="213"/>
        <v>0</v>
      </c>
      <c r="EC200" s="295"/>
      <c r="ED200" s="295"/>
      <c r="EE200" s="295"/>
      <c r="EF200" s="295"/>
      <c r="EG200" s="347"/>
      <c r="EH200" s="295"/>
      <c r="EI200" s="295"/>
      <c r="EJ200" s="295"/>
      <c r="EK200" s="352"/>
      <c r="EL200" s="352"/>
      <c r="EM200" s="352"/>
      <c r="EN200" s="352"/>
      <c r="EO200" s="352"/>
      <c r="EP200" s="352"/>
      <c r="EQ200" s="319"/>
      <c r="ER200" s="295"/>
      <c r="ES200" s="318">
        <v>11001.96</v>
      </c>
      <c r="ET200" s="318">
        <v>2000.36</v>
      </c>
      <c r="EU200" s="318">
        <v>59996.27</v>
      </c>
      <c r="EV200" s="318">
        <v>6000.18</v>
      </c>
      <c r="EW200" s="318">
        <v>50</v>
      </c>
      <c r="EX200" s="318">
        <v>45001.86</v>
      </c>
      <c r="EY200" s="318">
        <v>41000.49</v>
      </c>
      <c r="EZ200" s="318">
        <v>8001.42</v>
      </c>
      <c r="FA200" s="318">
        <v>200.04900000000001</v>
      </c>
      <c r="FB200" s="318">
        <v>1200.0999999999999</v>
      </c>
      <c r="FC200" s="318">
        <v>2500</v>
      </c>
      <c r="FD200" s="318"/>
      <c r="FE200" s="295"/>
      <c r="FF200" s="295"/>
      <c r="FG200" s="295"/>
      <c r="FH200" s="295"/>
      <c r="FI200" s="295"/>
      <c r="FJ200" s="295"/>
      <c r="FK200" s="295"/>
      <c r="FL200" s="295"/>
      <c r="FM200" s="335" t="e">
        <f t="shared" si="134"/>
        <v>#DIV/0!</v>
      </c>
      <c r="FN200" s="335" t="e">
        <f t="shared" si="135"/>
        <v>#DIV/0!</v>
      </c>
      <c r="FO200" s="338" t="e">
        <f t="shared" si="136"/>
        <v>#DIV/0!</v>
      </c>
      <c r="FP200" s="338" t="e">
        <f t="shared" si="137"/>
        <v>#DIV/0!</v>
      </c>
      <c r="FQ200" s="339" t="e">
        <f t="shared" si="138"/>
        <v>#DIV/0!</v>
      </c>
    </row>
    <row r="201" spans="2:173" ht="14" x14ac:dyDescent="0.15">
      <c r="B201" s="182" t="s">
        <v>446</v>
      </c>
      <c r="C201" s="157"/>
      <c r="D201" s="295"/>
      <c r="E201" s="295"/>
      <c r="F201" s="295"/>
      <c r="G201" s="295"/>
      <c r="H201" s="296"/>
      <c r="I201" s="296"/>
      <c r="J201" s="296"/>
      <c r="K201" s="296"/>
      <c r="L201" s="157"/>
      <c r="M201" s="307"/>
      <c r="N201" s="307"/>
      <c r="O201" s="307"/>
      <c r="P201" s="307"/>
      <c r="Q201" s="307"/>
      <c r="R201" s="157"/>
      <c r="S201" s="157"/>
      <c r="T201" s="157"/>
      <c r="U201" s="157"/>
      <c r="V201" s="157"/>
      <c r="W201" s="157"/>
      <c r="X201" s="157"/>
      <c r="Y201" s="157"/>
      <c r="Z201" s="157"/>
      <c r="AA201" s="157"/>
      <c r="AB201" s="157"/>
      <c r="AC201" s="157"/>
      <c r="AD201" s="157"/>
      <c r="AE201" s="157"/>
      <c r="AF201" s="157"/>
      <c r="AG201" s="157"/>
      <c r="AH201" s="157"/>
      <c r="AI201" s="157"/>
      <c r="AJ201" s="157"/>
      <c r="AK201" s="157"/>
      <c r="AL201" s="157"/>
      <c r="AM201" s="157"/>
      <c r="AN201" s="157"/>
      <c r="AO201" s="157"/>
      <c r="AP201" s="157"/>
      <c r="AQ201" s="157"/>
      <c r="AR201" s="157"/>
      <c r="AS201" s="157"/>
      <c r="AT201" s="157"/>
      <c r="AU201" s="157"/>
      <c r="AV201" s="157"/>
      <c r="AW201" s="157"/>
      <c r="AX201" s="157"/>
      <c r="AY201" s="157"/>
      <c r="AZ201" s="157"/>
      <c r="BA201" s="157"/>
      <c r="BB201" s="295"/>
      <c r="BC201" s="295"/>
      <c r="BD201" s="295"/>
      <c r="BE201" s="295"/>
      <c r="BF201" s="295"/>
      <c r="BG201" s="295"/>
      <c r="BH201" s="295"/>
      <c r="BI201" s="295"/>
      <c r="BJ201" s="295"/>
      <c r="BK201" s="295"/>
      <c r="BL201" s="295"/>
      <c r="BM201" s="157"/>
      <c r="BN201" s="157"/>
      <c r="BO201" s="157"/>
      <c r="BP201" s="157"/>
      <c r="BQ201" s="157"/>
      <c r="BR201" s="157"/>
      <c r="BS201" s="303">
        <v>7.5</v>
      </c>
      <c r="BT201" s="303"/>
      <c r="BU201" s="303"/>
      <c r="BV201" s="303"/>
      <c r="BW201" s="303"/>
      <c r="BX201" s="303"/>
      <c r="BY201" s="304"/>
      <c r="BZ201" s="157"/>
      <c r="CA201" s="305"/>
      <c r="CB201" s="306"/>
      <c r="CC201" s="306"/>
      <c r="CD201" s="306"/>
      <c r="CE201" s="306"/>
      <c r="CF201" s="306"/>
      <c r="CG201" s="305"/>
      <c r="CH201" s="307"/>
      <c r="CI201" s="304"/>
      <c r="CJ201" s="304"/>
      <c r="CK201" s="304"/>
      <c r="CL201" s="304"/>
      <c r="CM201" s="304"/>
      <c r="CN201" s="304"/>
      <c r="CO201" s="304"/>
      <c r="CP201" s="304"/>
      <c r="CQ201" s="304"/>
      <c r="CR201" s="304"/>
      <c r="CS201" s="304"/>
      <c r="CT201" s="304"/>
      <c r="CU201" s="157"/>
      <c r="CV201" s="309"/>
      <c r="CW201" s="309">
        <f t="shared" si="247"/>
        <v>0</v>
      </c>
      <c r="CX201" s="309">
        <f t="shared" si="248"/>
        <v>0</v>
      </c>
      <c r="CY201" s="309">
        <f t="shared" si="249"/>
        <v>0</v>
      </c>
      <c r="CZ201" s="309">
        <f t="shared" si="250"/>
        <v>0</v>
      </c>
      <c r="DA201" s="309">
        <f t="shared" si="251"/>
        <v>0</v>
      </c>
      <c r="DB201" s="309">
        <f t="shared" si="252"/>
        <v>0</v>
      </c>
      <c r="DC201" s="309">
        <f t="shared" si="253"/>
        <v>0</v>
      </c>
      <c r="DD201" s="309">
        <f t="shared" si="254"/>
        <v>0</v>
      </c>
      <c r="DE201" s="309">
        <f t="shared" si="255"/>
        <v>0</v>
      </c>
      <c r="DF201" s="309">
        <f t="shared" si="256"/>
        <v>0</v>
      </c>
      <c r="DG201" s="309">
        <f t="shared" si="257"/>
        <v>0</v>
      </c>
      <c r="DH201" s="308">
        <f t="shared" si="258"/>
        <v>0</v>
      </c>
      <c r="DI201" s="308">
        <f t="shared" si="259"/>
        <v>0</v>
      </c>
      <c r="DJ201" s="308">
        <f t="shared" si="260"/>
        <v>0</v>
      </c>
      <c r="DK201" s="308">
        <f t="shared" si="261"/>
        <v>0</v>
      </c>
      <c r="DL201" s="308">
        <f t="shared" si="262"/>
        <v>0</v>
      </c>
      <c r="DM201" s="308">
        <f t="shared" si="263"/>
        <v>0</v>
      </c>
      <c r="DN201" s="308">
        <f t="shared" si="264"/>
        <v>0</v>
      </c>
      <c r="DO201" s="308">
        <f t="shared" si="265"/>
        <v>0</v>
      </c>
      <c r="DP201" s="308">
        <f t="shared" si="266"/>
        <v>0</v>
      </c>
      <c r="DQ201" s="330">
        <f t="shared" si="209"/>
        <v>0</v>
      </c>
      <c r="DR201" s="330">
        <f t="shared" si="210"/>
        <v>0</v>
      </c>
      <c r="DS201" s="330">
        <f t="shared" si="211"/>
        <v>0</v>
      </c>
      <c r="DT201" s="330">
        <f t="shared" si="212"/>
        <v>0</v>
      </c>
      <c r="DU201" s="295"/>
      <c r="DV201" s="295"/>
      <c r="DW201" s="311"/>
      <c r="DX201" s="312"/>
      <c r="DY201" s="295"/>
      <c r="DZ201" s="295"/>
      <c r="EA201" s="295"/>
      <c r="EB201" s="314">
        <f t="shared" si="213"/>
        <v>0</v>
      </c>
      <c r="EC201" s="295"/>
      <c r="ED201" s="295"/>
      <c r="EE201" s="295"/>
      <c r="EF201" s="295"/>
      <c r="EG201" s="347"/>
      <c r="EH201" s="295"/>
      <c r="EI201" s="295"/>
      <c r="EJ201" s="295"/>
      <c r="EK201" s="352">
        <v>0.16009999999999999</v>
      </c>
      <c r="EL201" s="352">
        <v>0.13400000000000001</v>
      </c>
      <c r="EM201" s="352">
        <v>0.04</v>
      </c>
      <c r="EN201" s="352">
        <v>1.3299999999999999E-2</v>
      </c>
      <c r="EO201" s="352">
        <v>6.9999999999999999E-4</v>
      </c>
      <c r="EP201" s="352"/>
      <c r="EQ201" s="319"/>
      <c r="ER201" s="295"/>
      <c r="ES201" s="318"/>
      <c r="ET201" s="318"/>
      <c r="EU201" s="318"/>
      <c r="EV201" s="318"/>
      <c r="EW201" s="318"/>
      <c r="EX201" s="318"/>
      <c r="EY201" s="318"/>
      <c r="EZ201" s="318"/>
      <c r="FA201" s="318"/>
      <c r="FB201" s="318"/>
      <c r="FC201" s="318"/>
      <c r="FD201" s="318"/>
      <c r="FE201" s="295"/>
      <c r="FF201" s="295"/>
      <c r="FG201" s="295"/>
      <c r="FH201" s="295"/>
      <c r="FI201" s="295"/>
      <c r="FJ201" s="295"/>
      <c r="FK201" s="295"/>
      <c r="FL201" s="295"/>
      <c r="FM201" s="335" t="e">
        <f t="shared" si="134"/>
        <v>#DIV/0!</v>
      </c>
      <c r="FN201" s="335" t="e">
        <f t="shared" si="135"/>
        <v>#DIV/0!</v>
      </c>
      <c r="FO201" s="338" t="e">
        <f t="shared" si="136"/>
        <v>#DIV/0!</v>
      </c>
      <c r="FP201" s="338" t="e">
        <f t="shared" si="137"/>
        <v>#DIV/0!</v>
      </c>
      <c r="FQ201" s="339" t="e">
        <f t="shared" si="138"/>
        <v>#DIV/0!</v>
      </c>
    </row>
    <row r="202" spans="2:173" ht="14" x14ac:dyDescent="0.15">
      <c r="B202" s="182" t="s">
        <v>447</v>
      </c>
      <c r="C202" s="157"/>
      <c r="D202" s="295"/>
      <c r="E202" s="295"/>
      <c r="F202" s="295"/>
      <c r="G202" s="295"/>
      <c r="H202" s="296"/>
      <c r="I202" s="296"/>
      <c r="J202" s="296"/>
      <c r="K202" s="296"/>
      <c r="L202" s="157"/>
      <c r="M202" s="307"/>
      <c r="N202" s="307"/>
      <c r="O202" s="307"/>
      <c r="P202" s="307"/>
      <c r="Q202" s="307"/>
      <c r="R202" s="157"/>
      <c r="S202" s="157"/>
      <c r="T202" s="157"/>
      <c r="U202" s="157"/>
      <c r="V202" s="157"/>
      <c r="W202" s="157"/>
      <c r="X202" s="157"/>
      <c r="Y202" s="157"/>
      <c r="Z202" s="157"/>
      <c r="AA202" s="157"/>
      <c r="AB202" s="157"/>
      <c r="AC202" s="157"/>
      <c r="AD202" s="157"/>
      <c r="AE202" s="157"/>
      <c r="AF202" s="157"/>
      <c r="AG202" s="157"/>
      <c r="AH202" s="157"/>
      <c r="AI202" s="157"/>
      <c r="AJ202" s="157"/>
      <c r="AK202" s="157"/>
      <c r="AL202" s="157"/>
      <c r="AM202" s="157"/>
      <c r="AN202" s="157"/>
      <c r="AO202" s="157"/>
      <c r="AP202" s="157"/>
      <c r="AQ202" s="157"/>
      <c r="AR202" s="157"/>
      <c r="AS202" s="157"/>
      <c r="AT202" s="157"/>
      <c r="AU202" s="157"/>
      <c r="AV202" s="157"/>
      <c r="AW202" s="157"/>
      <c r="AX202" s="157"/>
      <c r="AY202" s="157"/>
      <c r="AZ202" s="157"/>
      <c r="BA202" s="157"/>
      <c r="BB202" s="295"/>
      <c r="BC202" s="295"/>
      <c r="BD202" s="295"/>
      <c r="BE202" s="295"/>
      <c r="BF202" s="295"/>
      <c r="BG202" s="295"/>
      <c r="BH202" s="295"/>
      <c r="BI202" s="295"/>
      <c r="BJ202" s="295"/>
      <c r="BK202" s="295"/>
      <c r="BL202" s="295"/>
      <c r="BM202" s="157"/>
      <c r="BN202" s="157"/>
      <c r="BO202" s="157"/>
      <c r="BP202" s="157"/>
      <c r="BQ202" s="157"/>
      <c r="BR202" s="157"/>
      <c r="BS202" s="303"/>
      <c r="BT202" s="303"/>
      <c r="BU202" s="303"/>
      <c r="BV202" s="303"/>
      <c r="BW202" s="303"/>
      <c r="BX202" s="303"/>
      <c r="BY202" s="304"/>
      <c r="BZ202" s="157"/>
      <c r="CA202" s="305"/>
      <c r="CB202" s="306"/>
      <c r="CC202" s="306"/>
      <c r="CD202" s="306"/>
      <c r="CE202" s="306"/>
      <c r="CF202" s="306"/>
      <c r="CG202" s="305"/>
      <c r="CH202" s="307"/>
      <c r="CI202" s="304"/>
      <c r="CJ202" s="304"/>
      <c r="CK202" s="304"/>
      <c r="CL202" s="304"/>
      <c r="CM202" s="304"/>
      <c r="CN202" s="304"/>
      <c r="CO202" s="304"/>
      <c r="CP202" s="304"/>
      <c r="CQ202" s="304"/>
      <c r="CR202" s="304"/>
      <c r="CS202" s="304"/>
      <c r="CT202" s="304"/>
      <c r="CU202" s="157"/>
      <c r="CV202" s="309"/>
      <c r="CW202" s="309">
        <f t="shared" si="247"/>
        <v>0</v>
      </c>
      <c r="CX202" s="309">
        <f t="shared" si="248"/>
        <v>0</v>
      </c>
      <c r="CY202" s="309">
        <f t="shared" si="249"/>
        <v>0</v>
      </c>
      <c r="CZ202" s="309">
        <f t="shared" si="250"/>
        <v>0</v>
      </c>
      <c r="DA202" s="309">
        <f t="shared" si="251"/>
        <v>0</v>
      </c>
      <c r="DB202" s="309">
        <f t="shared" si="252"/>
        <v>0</v>
      </c>
      <c r="DC202" s="309">
        <f t="shared" si="253"/>
        <v>0</v>
      </c>
      <c r="DD202" s="309">
        <f t="shared" si="254"/>
        <v>0</v>
      </c>
      <c r="DE202" s="309">
        <f t="shared" si="255"/>
        <v>0</v>
      </c>
      <c r="DF202" s="309">
        <f t="shared" si="256"/>
        <v>0</v>
      </c>
      <c r="DG202" s="309">
        <f t="shared" si="257"/>
        <v>0</v>
      </c>
      <c r="DH202" s="308">
        <f t="shared" si="258"/>
        <v>0</v>
      </c>
      <c r="DI202" s="308">
        <f t="shared" si="259"/>
        <v>0</v>
      </c>
      <c r="DJ202" s="308">
        <f t="shared" si="260"/>
        <v>0</v>
      </c>
      <c r="DK202" s="308">
        <f t="shared" si="261"/>
        <v>0</v>
      </c>
      <c r="DL202" s="308">
        <f t="shared" si="262"/>
        <v>0</v>
      </c>
      <c r="DM202" s="308">
        <f t="shared" si="263"/>
        <v>0</v>
      </c>
      <c r="DN202" s="308">
        <f t="shared" si="264"/>
        <v>0</v>
      </c>
      <c r="DO202" s="308">
        <f t="shared" si="265"/>
        <v>0</v>
      </c>
      <c r="DP202" s="308">
        <f t="shared" si="266"/>
        <v>0</v>
      </c>
      <c r="DQ202" s="330">
        <f t="shared" si="209"/>
        <v>0</v>
      </c>
      <c r="DR202" s="330">
        <f t="shared" si="210"/>
        <v>0</v>
      </c>
      <c r="DS202" s="330">
        <f t="shared" si="211"/>
        <v>0</v>
      </c>
      <c r="DT202" s="330">
        <f t="shared" si="212"/>
        <v>0</v>
      </c>
      <c r="DU202" s="295"/>
      <c r="DV202" s="295"/>
      <c r="DW202" s="311"/>
      <c r="DX202" s="312"/>
      <c r="DY202" s="295"/>
      <c r="DZ202" s="295"/>
      <c r="EA202" s="319">
        <v>0.4</v>
      </c>
      <c r="EB202" s="314">
        <f t="shared" si="213"/>
        <v>0</v>
      </c>
      <c r="EC202" s="295"/>
      <c r="ED202" s="295"/>
      <c r="EE202" s="295"/>
      <c r="EF202" s="295"/>
      <c r="EG202" s="347"/>
      <c r="EH202" s="295"/>
      <c r="EI202" s="295">
        <v>0.77</v>
      </c>
      <c r="EJ202" s="295"/>
      <c r="EK202" s="352"/>
      <c r="EL202" s="352"/>
      <c r="EM202" s="352"/>
      <c r="EN202" s="352"/>
      <c r="EO202" s="352"/>
      <c r="EP202" s="352">
        <v>5.9999999999999995E-4</v>
      </c>
      <c r="EQ202" s="319"/>
      <c r="ER202" s="295"/>
      <c r="ES202" s="318"/>
      <c r="ET202" s="318"/>
      <c r="EU202" s="318"/>
      <c r="EV202" s="318"/>
      <c r="EW202" s="318"/>
      <c r="EX202" s="318"/>
      <c r="EY202" s="318"/>
      <c r="EZ202" s="318"/>
      <c r="FA202" s="318"/>
      <c r="FB202" s="318"/>
      <c r="FC202" s="318"/>
      <c r="FD202" s="318"/>
      <c r="FE202" s="295"/>
      <c r="FF202" s="295"/>
      <c r="FG202" s="295"/>
      <c r="FH202" s="295"/>
      <c r="FI202" s="295"/>
      <c r="FJ202" s="295"/>
      <c r="FK202" s="295"/>
      <c r="FL202" s="295"/>
      <c r="FM202" s="335" t="e">
        <f t="shared" ref="FM202:FM217" si="267">DH202/CZ202</f>
        <v>#DIV/0!</v>
      </c>
      <c r="FN202" s="335" t="e">
        <f t="shared" ref="FN202:FN217" si="268">CY202/CZ202</f>
        <v>#DIV/0!</v>
      </c>
      <c r="FO202" s="338" t="e">
        <f t="shared" ref="FO202:FO217" si="269">DH202/CY202</f>
        <v>#DIV/0!</v>
      </c>
      <c r="FP202" s="338" t="e">
        <f t="shared" ref="FP202:FP217" si="270">DG202/CZ202</f>
        <v>#DIV/0!</v>
      </c>
      <c r="FQ202" s="339" t="e">
        <f t="shared" ref="FQ202:FQ217" si="271">CZ202/I202</f>
        <v>#DIV/0!</v>
      </c>
    </row>
    <row r="203" spans="2:173" ht="14" x14ac:dyDescent="0.15">
      <c r="B203" s="182" t="s">
        <v>448</v>
      </c>
      <c r="C203" s="157"/>
      <c r="D203" s="295"/>
      <c r="E203" s="295"/>
      <c r="F203" s="295"/>
      <c r="G203" s="295"/>
      <c r="H203" s="296"/>
      <c r="I203" s="296"/>
      <c r="J203" s="296"/>
      <c r="K203" s="296"/>
      <c r="L203" s="157"/>
      <c r="M203" s="307"/>
      <c r="N203" s="307"/>
      <c r="O203" s="307"/>
      <c r="P203" s="307"/>
      <c r="Q203" s="307"/>
      <c r="R203" s="157"/>
      <c r="S203" s="157"/>
      <c r="T203" s="157"/>
      <c r="U203" s="157"/>
      <c r="V203" s="157"/>
      <c r="W203" s="157"/>
      <c r="X203" s="157"/>
      <c r="Y203" s="157"/>
      <c r="Z203" s="157"/>
      <c r="AA203" s="157"/>
      <c r="AB203" s="157"/>
      <c r="AC203" s="157"/>
      <c r="AD203" s="157"/>
      <c r="AE203" s="157"/>
      <c r="AF203" s="157"/>
      <c r="AG203" s="157"/>
      <c r="AH203" s="157"/>
      <c r="AI203" s="157"/>
      <c r="AJ203" s="157"/>
      <c r="AK203" s="157"/>
      <c r="AL203" s="157"/>
      <c r="AM203" s="157"/>
      <c r="AN203" s="157"/>
      <c r="AO203" s="157"/>
      <c r="AP203" s="157"/>
      <c r="AQ203" s="157"/>
      <c r="AR203" s="157"/>
      <c r="AS203" s="157"/>
      <c r="AT203" s="157"/>
      <c r="AU203" s="157"/>
      <c r="AV203" s="157"/>
      <c r="AW203" s="157"/>
      <c r="AX203" s="157"/>
      <c r="AY203" s="305"/>
      <c r="AZ203" s="305"/>
      <c r="BA203" s="305"/>
      <c r="BB203" s="318"/>
      <c r="BC203" s="318"/>
      <c r="BD203" s="318"/>
      <c r="BE203" s="318"/>
      <c r="BF203" s="318"/>
      <c r="BG203" s="318"/>
      <c r="BH203" s="318"/>
      <c r="BI203" s="318"/>
      <c r="BJ203" s="318"/>
      <c r="BK203" s="318"/>
      <c r="BL203" s="318"/>
      <c r="BM203" s="305"/>
      <c r="BN203" s="305"/>
      <c r="BO203" s="305"/>
      <c r="BP203" s="305"/>
      <c r="BQ203" s="305"/>
      <c r="BR203" s="157"/>
      <c r="BS203" s="303"/>
      <c r="BT203" s="303"/>
      <c r="BU203" s="303"/>
      <c r="BV203" s="303"/>
      <c r="BW203" s="303"/>
      <c r="BX203" s="303"/>
      <c r="BY203" s="304"/>
      <c r="BZ203" s="157"/>
      <c r="CA203" s="305"/>
      <c r="CB203" s="306"/>
      <c r="CC203" s="306"/>
      <c r="CD203" s="306"/>
      <c r="CE203" s="306"/>
      <c r="CF203" s="306"/>
      <c r="CG203" s="305"/>
      <c r="CH203" s="307"/>
      <c r="CI203" s="304"/>
      <c r="CJ203" s="304"/>
      <c r="CK203" s="304"/>
      <c r="CL203" s="304"/>
      <c r="CM203" s="304"/>
      <c r="CN203" s="304"/>
      <c r="CO203" s="304"/>
      <c r="CP203" s="304"/>
      <c r="CQ203" s="304"/>
      <c r="CR203" s="304"/>
      <c r="CS203" s="304"/>
      <c r="CT203" s="304"/>
      <c r="CU203" s="157"/>
      <c r="CV203" s="309"/>
      <c r="CW203" s="309">
        <f t="shared" si="247"/>
        <v>0</v>
      </c>
      <c r="CX203" s="309">
        <f t="shared" si="248"/>
        <v>0</v>
      </c>
      <c r="CY203" s="309">
        <f t="shared" si="249"/>
        <v>0</v>
      </c>
      <c r="CZ203" s="309">
        <f t="shared" si="250"/>
        <v>0</v>
      </c>
      <c r="DA203" s="309">
        <f t="shared" si="251"/>
        <v>0</v>
      </c>
      <c r="DB203" s="309">
        <f t="shared" si="252"/>
        <v>0</v>
      </c>
      <c r="DC203" s="309">
        <f t="shared" si="253"/>
        <v>0</v>
      </c>
      <c r="DD203" s="309">
        <f t="shared" si="254"/>
        <v>0</v>
      </c>
      <c r="DE203" s="309">
        <f t="shared" si="255"/>
        <v>0</v>
      </c>
      <c r="DF203" s="309">
        <f t="shared" si="256"/>
        <v>0</v>
      </c>
      <c r="DG203" s="309">
        <f t="shared" si="257"/>
        <v>0</v>
      </c>
      <c r="DH203" s="308">
        <f t="shared" si="258"/>
        <v>0</v>
      </c>
      <c r="DI203" s="308">
        <f t="shared" si="259"/>
        <v>0</v>
      </c>
      <c r="DJ203" s="308">
        <f t="shared" si="260"/>
        <v>0</v>
      </c>
      <c r="DK203" s="308">
        <f t="shared" si="261"/>
        <v>0</v>
      </c>
      <c r="DL203" s="308">
        <f t="shared" si="262"/>
        <v>0</v>
      </c>
      <c r="DM203" s="308">
        <f t="shared" si="263"/>
        <v>0</v>
      </c>
      <c r="DN203" s="308">
        <f t="shared" si="264"/>
        <v>0</v>
      </c>
      <c r="DO203" s="308">
        <f t="shared" si="265"/>
        <v>0</v>
      </c>
      <c r="DP203" s="308">
        <f t="shared" si="266"/>
        <v>0</v>
      </c>
      <c r="DQ203" s="330">
        <f t="shared" si="209"/>
        <v>0</v>
      </c>
      <c r="DR203" s="330">
        <f t="shared" si="210"/>
        <v>0</v>
      </c>
      <c r="DS203" s="330">
        <f t="shared" si="211"/>
        <v>0</v>
      </c>
      <c r="DT203" s="330">
        <f t="shared" si="212"/>
        <v>0</v>
      </c>
      <c r="DU203" s="295"/>
      <c r="DV203" s="295"/>
      <c r="DW203" s="311"/>
      <c r="DX203" s="312"/>
      <c r="DY203" s="295"/>
      <c r="DZ203" s="295"/>
      <c r="EA203" s="295"/>
      <c r="EB203" s="314">
        <f t="shared" si="213"/>
        <v>0</v>
      </c>
      <c r="EC203" s="295"/>
      <c r="ED203" s="295"/>
      <c r="EE203" s="295">
        <v>2270000</v>
      </c>
      <c r="EF203" s="295">
        <v>5000</v>
      </c>
      <c r="EG203" s="347"/>
      <c r="EH203" s="295"/>
      <c r="EI203" s="295"/>
      <c r="EJ203" s="295"/>
      <c r="EK203" s="352"/>
      <c r="EL203" s="352"/>
      <c r="EM203" s="352"/>
      <c r="EN203" s="352"/>
      <c r="EO203" s="352"/>
      <c r="EP203" s="352"/>
      <c r="EQ203" s="319"/>
      <c r="ER203" s="295"/>
      <c r="ES203" s="318"/>
      <c r="ET203" s="318"/>
      <c r="EU203" s="318"/>
      <c r="EV203" s="318"/>
      <c r="EW203" s="318"/>
      <c r="EX203" s="318"/>
      <c r="EY203" s="318"/>
      <c r="EZ203" s="318"/>
      <c r="FA203" s="318"/>
      <c r="FB203" s="318"/>
      <c r="FC203" s="318"/>
      <c r="FD203" s="318"/>
      <c r="FE203" s="295"/>
      <c r="FF203" s="295"/>
      <c r="FG203" s="295"/>
      <c r="FH203" s="295"/>
      <c r="FI203" s="295"/>
      <c r="FJ203" s="295"/>
      <c r="FK203" s="295"/>
      <c r="FL203" s="295"/>
      <c r="FM203" s="335" t="e">
        <f t="shared" si="267"/>
        <v>#DIV/0!</v>
      </c>
      <c r="FN203" s="335" t="e">
        <f t="shared" si="268"/>
        <v>#DIV/0!</v>
      </c>
      <c r="FO203" s="338" t="e">
        <f t="shared" si="269"/>
        <v>#DIV/0!</v>
      </c>
      <c r="FP203" s="338" t="e">
        <f t="shared" si="270"/>
        <v>#DIV/0!</v>
      </c>
      <c r="FQ203" s="339" t="e">
        <f t="shared" si="271"/>
        <v>#DIV/0!</v>
      </c>
    </row>
    <row r="204" spans="2:173" s="113" customFormat="1" ht="14" x14ac:dyDescent="0.15">
      <c r="B204" s="182" t="s">
        <v>450</v>
      </c>
      <c r="C204" s="293">
        <v>4496</v>
      </c>
      <c r="D204" s="289">
        <v>3958</v>
      </c>
      <c r="E204" s="289">
        <v>3528</v>
      </c>
      <c r="F204" s="289">
        <v>2351</v>
      </c>
      <c r="G204" s="289"/>
      <c r="H204" s="322">
        <v>93.5</v>
      </c>
      <c r="I204" s="322">
        <v>69.3</v>
      </c>
      <c r="J204" s="322"/>
      <c r="K204" s="322">
        <v>7.8</v>
      </c>
      <c r="L204" s="293"/>
      <c r="M204" s="329">
        <v>16.8</v>
      </c>
      <c r="N204" s="329"/>
      <c r="O204" s="329"/>
      <c r="P204" s="329"/>
      <c r="Q204" s="329"/>
      <c r="R204" s="293"/>
      <c r="S204" s="293"/>
      <c r="T204" s="293"/>
      <c r="U204" s="293"/>
      <c r="V204" s="293"/>
      <c r="W204" s="293"/>
      <c r="X204" s="293"/>
      <c r="Y204" s="293"/>
      <c r="Z204" s="293"/>
      <c r="AA204" s="293"/>
      <c r="AB204" s="293"/>
      <c r="AC204" s="293"/>
      <c r="AD204" s="293"/>
      <c r="AE204" s="293"/>
      <c r="AF204" s="331">
        <v>3.69</v>
      </c>
      <c r="AG204" s="331">
        <v>2.19</v>
      </c>
      <c r="AH204" s="331">
        <v>2.91</v>
      </c>
      <c r="AI204" s="331">
        <v>4.7699999999999996</v>
      </c>
      <c r="AJ204" s="331">
        <v>5.0599999999999996</v>
      </c>
      <c r="AK204" s="331">
        <v>1.87</v>
      </c>
      <c r="AL204" s="331">
        <v>2.58</v>
      </c>
      <c r="AM204" s="331">
        <v>2.46</v>
      </c>
      <c r="AN204" s="331">
        <v>1.1000000000000001</v>
      </c>
      <c r="AO204" s="331">
        <v>3.16</v>
      </c>
      <c r="AP204" s="331">
        <v>2.46</v>
      </c>
      <c r="AQ204" s="331">
        <v>5.62</v>
      </c>
      <c r="AR204" s="331">
        <v>0.7</v>
      </c>
      <c r="AS204" s="331">
        <v>7.92</v>
      </c>
      <c r="AT204" s="331">
        <v>3.78</v>
      </c>
      <c r="AU204" s="331">
        <v>1.99</v>
      </c>
      <c r="AV204" s="331">
        <v>2.23</v>
      </c>
      <c r="AW204" s="331">
        <v>2.06</v>
      </c>
      <c r="AX204" s="293"/>
      <c r="AY204" s="327">
        <v>85</v>
      </c>
      <c r="AZ204" s="327">
        <v>86</v>
      </c>
      <c r="BA204" s="327">
        <v>84</v>
      </c>
      <c r="BB204" s="337">
        <v>83</v>
      </c>
      <c r="BC204" s="337">
        <v>83</v>
      </c>
      <c r="BD204" s="337">
        <v>86</v>
      </c>
      <c r="BE204" s="337">
        <v>87</v>
      </c>
      <c r="BF204" s="337">
        <v>82</v>
      </c>
      <c r="BG204" s="337">
        <v>81</v>
      </c>
      <c r="BH204" s="337">
        <v>76</v>
      </c>
      <c r="BI204" s="337">
        <v>83</v>
      </c>
      <c r="BJ204" s="337"/>
      <c r="BK204" s="337"/>
      <c r="BL204" s="337">
        <v>64</v>
      </c>
      <c r="BM204" s="327"/>
      <c r="BN204" s="327"/>
      <c r="BO204" s="327"/>
      <c r="BP204" s="327"/>
      <c r="BQ204" s="327">
        <v>74</v>
      </c>
      <c r="BR204" s="293"/>
      <c r="BS204" s="291">
        <v>4.28</v>
      </c>
      <c r="BT204" s="291">
        <v>0.55000000000000004</v>
      </c>
      <c r="BU204" s="291">
        <v>0.62</v>
      </c>
      <c r="BV204" s="291">
        <v>0.13</v>
      </c>
      <c r="BW204" s="291">
        <v>0.4</v>
      </c>
      <c r="BX204" s="291">
        <v>2.93</v>
      </c>
      <c r="BY204" s="325"/>
      <c r="BZ204" s="293"/>
      <c r="CA204" s="327"/>
      <c r="CB204" s="328">
        <v>79</v>
      </c>
      <c r="CC204" s="328">
        <v>82</v>
      </c>
      <c r="CD204" s="328">
        <v>76</v>
      </c>
      <c r="CE204" s="328">
        <v>87</v>
      </c>
      <c r="CF204" s="328">
        <v>4.04</v>
      </c>
      <c r="CG204" s="327"/>
      <c r="CH204" s="307"/>
      <c r="CI204" s="304"/>
      <c r="CJ204" s="304"/>
      <c r="CK204" s="304"/>
      <c r="CL204" s="304"/>
      <c r="CM204" s="304"/>
      <c r="CN204" s="304"/>
      <c r="CO204" s="304"/>
      <c r="CP204" s="304"/>
      <c r="CQ204" s="304"/>
      <c r="CR204" s="304"/>
      <c r="CS204" s="304"/>
      <c r="CT204" s="304"/>
      <c r="CU204" s="293"/>
      <c r="CV204" s="331"/>
      <c r="CW204" s="331">
        <f t="shared" ref="CW204:DB205" si="272">AF204*AZ204/100</f>
        <v>3.1733999999999996</v>
      </c>
      <c r="CX204" s="331">
        <f t="shared" si="272"/>
        <v>1.8396000000000001</v>
      </c>
      <c r="CY204" s="331">
        <f t="shared" si="272"/>
        <v>2.4153000000000002</v>
      </c>
      <c r="CZ204" s="331">
        <f t="shared" si="272"/>
        <v>3.9590999999999998</v>
      </c>
      <c r="DA204" s="331">
        <f t="shared" si="272"/>
        <v>4.3515999999999995</v>
      </c>
      <c r="DB204" s="331">
        <f t="shared" si="272"/>
        <v>1.6269</v>
      </c>
      <c r="DC204" s="331">
        <f>(AK204*BE204+BL204*AR204)/100</f>
        <v>2.0749</v>
      </c>
      <c r="DD204" s="331">
        <f>AL204*BF204/100</f>
        <v>2.1156000000000001</v>
      </c>
      <c r="DE204" s="331">
        <f t="shared" si="255"/>
        <v>3.64</v>
      </c>
      <c r="DF204" s="331">
        <f>AM204*BG204/100</f>
        <v>1.9925999999999999</v>
      </c>
      <c r="DG204" s="331">
        <f t="shared" si="257"/>
        <v>0.83600000000000008</v>
      </c>
      <c r="DH204" s="330">
        <f t="shared" si="258"/>
        <v>2.6228000000000002</v>
      </c>
      <c r="DI204" s="330">
        <f t="shared" si="259"/>
        <v>0</v>
      </c>
      <c r="DJ204" s="330">
        <f t="shared" si="260"/>
        <v>0</v>
      </c>
      <c r="DK204" s="330">
        <f t="shared" si="261"/>
        <v>0.44799999999999995</v>
      </c>
      <c r="DL204" s="330">
        <f t="shared" si="262"/>
        <v>0</v>
      </c>
      <c r="DM204" s="330">
        <f t="shared" si="263"/>
        <v>0</v>
      </c>
      <c r="DN204" s="330">
        <f t="shared" si="264"/>
        <v>0</v>
      </c>
      <c r="DO204" s="330">
        <f t="shared" si="265"/>
        <v>0</v>
      </c>
      <c r="DP204" s="330">
        <f t="shared" si="266"/>
        <v>1.5244</v>
      </c>
      <c r="DQ204" s="330">
        <f t="shared" si="209"/>
        <v>2.3147000000000002</v>
      </c>
      <c r="DR204" s="330">
        <f t="shared" si="210"/>
        <v>2.4026000000000001</v>
      </c>
      <c r="DS204" s="330">
        <f t="shared" si="211"/>
        <v>3.2528000000000001</v>
      </c>
      <c r="DT204" s="330">
        <f t="shared" si="212"/>
        <v>3.7236000000000002</v>
      </c>
      <c r="DU204" s="289"/>
      <c r="DV204" s="289"/>
      <c r="DW204" s="311"/>
      <c r="DX204" s="312"/>
      <c r="DY204" s="289"/>
      <c r="DZ204" s="289"/>
      <c r="EA204" s="338">
        <v>0.94</v>
      </c>
      <c r="EB204" s="314">
        <f t="shared" si="213"/>
        <v>2.7542</v>
      </c>
      <c r="EC204" s="289"/>
      <c r="ED204" s="289"/>
      <c r="EE204" s="289"/>
      <c r="EF204" s="289"/>
      <c r="EG204" s="389"/>
      <c r="EH204" s="289"/>
      <c r="EI204" s="289"/>
      <c r="EJ204" s="289"/>
      <c r="EK204" s="341"/>
      <c r="EL204" s="341"/>
      <c r="EM204" s="341"/>
      <c r="EN204" s="341"/>
      <c r="EO204" s="341"/>
      <c r="EP204" s="341"/>
      <c r="EQ204" s="338"/>
      <c r="ER204" s="289"/>
      <c r="ES204" s="337"/>
      <c r="ET204" s="337"/>
      <c r="EU204" s="337"/>
      <c r="EV204" s="337"/>
      <c r="EW204" s="337"/>
      <c r="EX204" s="337"/>
      <c r="EY204" s="337"/>
      <c r="EZ204" s="337"/>
      <c r="FA204" s="337"/>
      <c r="FB204" s="337"/>
      <c r="FC204" s="337"/>
      <c r="FD204" s="337"/>
      <c r="FE204" s="289"/>
      <c r="FF204" s="289"/>
      <c r="FG204" s="289"/>
      <c r="FH204" s="289"/>
      <c r="FI204" s="289"/>
      <c r="FJ204" s="289"/>
      <c r="FK204" s="289"/>
      <c r="FL204" s="289"/>
      <c r="FM204" s="335">
        <f t="shared" si="267"/>
        <v>0.66247379454926636</v>
      </c>
      <c r="FN204" s="335">
        <f t="shared" si="268"/>
        <v>0.61006289308176109</v>
      </c>
      <c r="FO204" s="338">
        <f t="shared" si="269"/>
        <v>1.0859106529209621</v>
      </c>
      <c r="FP204" s="338">
        <f t="shared" si="270"/>
        <v>0.21115910181606934</v>
      </c>
      <c r="FQ204" s="339">
        <f t="shared" si="271"/>
        <v>5.7129870129870128E-2</v>
      </c>
    </row>
    <row r="205" spans="2:173" s="113" customFormat="1" ht="14" x14ac:dyDescent="0.15">
      <c r="B205" s="182" t="s">
        <v>449</v>
      </c>
      <c r="C205" s="293">
        <v>4496</v>
      </c>
      <c r="D205" s="289">
        <v>3958</v>
      </c>
      <c r="E205" s="289">
        <v>3528</v>
      </c>
      <c r="F205" s="289">
        <v>2351</v>
      </c>
      <c r="G205" s="289"/>
      <c r="H205" s="322">
        <v>90</v>
      </c>
      <c r="I205" s="322">
        <v>67</v>
      </c>
      <c r="J205" s="322"/>
      <c r="K205" s="322">
        <v>10</v>
      </c>
      <c r="L205" s="293"/>
      <c r="M205" s="329">
        <v>17</v>
      </c>
      <c r="N205" s="329"/>
      <c r="O205" s="329"/>
      <c r="P205" s="329"/>
      <c r="Q205" s="329"/>
      <c r="R205" s="293"/>
      <c r="S205" s="293"/>
      <c r="T205" s="293"/>
      <c r="U205" s="293"/>
      <c r="V205" s="293"/>
      <c r="W205" s="293"/>
      <c r="X205" s="293"/>
      <c r="Y205" s="293"/>
      <c r="Z205" s="293"/>
      <c r="AA205" s="293"/>
      <c r="AB205" s="293"/>
      <c r="AC205" s="293"/>
      <c r="AD205" s="293"/>
      <c r="AE205" s="293"/>
      <c r="AF205" s="331">
        <v>3.74</v>
      </c>
      <c r="AG205" s="331">
        <v>2.36</v>
      </c>
      <c r="AH205" s="331">
        <v>2.59</v>
      </c>
      <c r="AI205" s="331">
        <v>4.8</v>
      </c>
      <c r="AJ205" s="331">
        <v>5.25</v>
      </c>
      <c r="AK205" s="331">
        <v>1.77</v>
      </c>
      <c r="AL205" s="331">
        <v>2.62</v>
      </c>
      <c r="AM205" s="331">
        <v>2.83</v>
      </c>
      <c r="AN205" s="331">
        <v>0.82</v>
      </c>
      <c r="AO205" s="331">
        <v>3.05</v>
      </c>
      <c r="AP205" s="331">
        <v>4.13</v>
      </c>
      <c r="AQ205" s="331">
        <v>6.08</v>
      </c>
      <c r="AR205" s="331">
        <v>0.59</v>
      </c>
      <c r="AS205" s="331">
        <v>8.24</v>
      </c>
      <c r="AT205" s="331">
        <v>3.96</v>
      </c>
      <c r="AU205" s="331">
        <v>2.58</v>
      </c>
      <c r="AV205" s="331">
        <v>2.6</v>
      </c>
      <c r="AW205" s="331">
        <v>1.88</v>
      </c>
      <c r="AX205" s="293"/>
      <c r="AY205" s="327">
        <v>85</v>
      </c>
      <c r="AZ205" s="327">
        <v>86</v>
      </c>
      <c r="BA205" s="327">
        <v>84</v>
      </c>
      <c r="BB205" s="337">
        <v>83</v>
      </c>
      <c r="BC205" s="337">
        <v>83</v>
      </c>
      <c r="BD205" s="337">
        <v>86</v>
      </c>
      <c r="BE205" s="337">
        <v>87</v>
      </c>
      <c r="BF205" s="337">
        <v>82</v>
      </c>
      <c r="BG205" s="337">
        <v>81</v>
      </c>
      <c r="BH205" s="337">
        <v>76</v>
      </c>
      <c r="BI205" s="337">
        <v>83</v>
      </c>
      <c r="BJ205" s="337"/>
      <c r="BK205" s="337"/>
      <c r="BL205" s="337">
        <v>64</v>
      </c>
      <c r="BM205" s="327"/>
      <c r="BN205" s="327"/>
      <c r="BO205" s="327"/>
      <c r="BP205" s="327"/>
      <c r="BQ205" s="327">
        <v>74</v>
      </c>
      <c r="BR205" s="293"/>
      <c r="BS205" s="291">
        <v>4.28</v>
      </c>
      <c r="BT205" s="291">
        <v>0.55000000000000004</v>
      </c>
      <c r="BU205" s="291">
        <v>0.62</v>
      </c>
      <c r="BV205" s="291">
        <v>0.13</v>
      </c>
      <c r="BW205" s="291">
        <v>0.4</v>
      </c>
      <c r="BX205" s="291">
        <v>2.93</v>
      </c>
      <c r="BY205" s="325"/>
      <c r="BZ205" s="293"/>
      <c r="CA205" s="327"/>
      <c r="CB205" s="328">
        <v>79</v>
      </c>
      <c r="CC205" s="328">
        <v>82</v>
      </c>
      <c r="CD205" s="328">
        <v>76</v>
      </c>
      <c r="CE205" s="328">
        <v>87</v>
      </c>
      <c r="CF205" s="328">
        <v>4.04</v>
      </c>
      <c r="CG205" s="327"/>
      <c r="CH205" s="307"/>
      <c r="CI205" s="304"/>
      <c r="CJ205" s="304"/>
      <c r="CK205" s="304"/>
      <c r="CL205" s="304"/>
      <c r="CM205" s="304"/>
      <c r="CN205" s="304"/>
      <c r="CO205" s="304"/>
      <c r="CP205" s="304"/>
      <c r="CQ205" s="304"/>
      <c r="CR205" s="304"/>
      <c r="CS205" s="304"/>
      <c r="CT205" s="304"/>
      <c r="CU205" s="293"/>
      <c r="CV205" s="331"/>
      <c r="CW205" s="331">
        <f t="shared" si="272"/>
        <v>3.2164000000000006</v>
      </c>
      <c r="CX205" s="331">
        <f t="shared" si="272"/>
        <v>1.9823999999999997</v>
      </c>
      <c r="CY205" s="331">
        <f t="shared" si="272"/>
        <v>2.1497000000000002</v>
      </c>
      <c r="CZ205" s="331">
        <f t="shared" si="272"/>
        <v>3.984</v>
      </c>
      <c r="DA205" s="331">
        <f t="shared" si="272"/>
        <v>4.5149999999999997</v>
      </c>
      <c r="DB205" s="331">
        <f t="shared" si="272"/>
        <v>1.5399</v>
      </c>
      <c r="DC205" s="331">
        <f>(AK205*BE205+BL205*AR205)/100</f>
        <v>1.9175</v>
      </c>
      <c r="DD205" s="331">
        <f>AL205*BF205/100</f>
        <v>2.1484000000000001</v>
      </c>
      <c r="DE205" s="331">
        <f t="shared" si="255"/>
        <v>3.5396000000000001</v>
      </c>
      <c r="DF205" s="331">
        <f>AM205*BG205/100</f>
        <v>2.2923</v>
      </c>
      <c r="DG205" s="331">
        <f t="shared" si="257"/>
        <v>0.62319999999999998</v>
      </c>
      <c r="DH205" s="330">
        <f t="shared" si="258"/>
        <v>2.5314999999999999</v>
      </c>
      <c r="DI205" s="330">
        <f t="shared" si="259"/>
        <v>0</v>
      </c>
      <c r="DJ205" s="330">
        <f t="shared" si="260"/>
        <v>0</v>
      </c>
      <c r="DK205" s="330">
        <f t="shared" si="261"/>
        <v>0.37759999999999999</v>
      </c>
      <c r="DL205" s="330">
        <f t="shared" si="262"/>
        <v>0</v>
      </c>
      <c r="DM205" s="330">
        <f t="shared" si="263"/>
        <v>0</v>
      </c>
      <c r="DN205" s="330">
        <f t="shared" si="264"/>
        <v>0</v>
      </c>
      <c r="DO205" s="330">
        <f t="shared" si="265"/>
        <v>0</v>
      </c>
      <c r="DP205" s="330">
        <f t="shared" si="266"/>
        <v>1.3912</v>
      </c>
      <c r="DQ205" s="330">
        <f t="shared" si="209"/>
        <v>2.3147000000000002</v>
      </c>
      <c r="DR205" s="330">
        <f t="shared" si="210"/>
        <v>2.4026000000000001</v>
      </c>
      <c r="DS205" s="330">
        <f t="shared" si="211"/>
        <v>3.2528000000000001</v>
      </c>
      <c r="DT205" s="330">
        <f t="shared" si="212"/>
        <v>3.7236000000000002</v>
      </c>
      <c r="DU205" s="289"/>
      <c r="DV205" s="289"/>
      <c r="DW205" s="311"/>
      <c r="DX205" s="312"/>
      <c r="DY205" s="289"/>
      <c r="DZ205" s="289"/>
      <c r="EA205" s="338">
        <v>0.94</v>
      </c>
      <c r="EB205" s="314">
        <f t="shared" si="213"/>
        <v>2.7542</v>
      </c>
      <c r="EC205" s="289"/>
      <c r="ED205" s="289"/>
      <c r="EE205" s="289"/>
      <c r="EF205" s="289"/>
      <c r="EG205" s="389"/>
      <c r="EH205" s="289"/>
      <c r="EI205" s="289"/>
      <c r="EJ205" s="289"/>
      <c r="EK205" s="341"/>
      <c r="EL205" s="341"/>
      <c r="EM205" s="341"/>
      <c r="EN205" s="341"/>
      <c r="EO205" s="341"/>
      <c r="EP205" s="341"/>
      <c r="EQ205" s="338"/>
      <c r="ER205" s="289"/>
      <c r="ES205" s="337"/>
      <c r="ET205" s="337"/>
      <c r="EU205" s="337"/>
      <c r="EV205" s="337"/>
      <c r="EW205" s="337"/>
      <c r="EX205" s="337"/>
      <c r="EY205" s="337"/>
      <c r="EZ205" s="337"/>
      <c r="FA205" s="337"/>
      <c r="FB205" s="337"/>
      <c r="FC205" s="337"/>
      <c r="FD205" s="337"/>
      <c r="FE205" s="289"/>
      <c r="FF205" s="289"/>
      <c r="FG205" s="289"/>
      <c r="FH205" s="289"/>
      <c r="FI205" s="289"/>
      <c r="FJ205" s="289"/>
      <c r="FK205" s="289"/>
      <c r="FL205" s="289"/>
      <c r="FM205" s="335">
        <f t="shared" si="267"/>
        <v>0.63541666666666663</v>
      </c>
      <c r="FN205" s="335">
        <f t="shared" si="268"/>
        <v>0.53958333333333341</v>
      </c>
      <c r="FO205" s="338">
        <f t="shared" si="269"/>
        <v>1.1776061776061775</v>
      </c>
      <c r="FP205" s="338">
        <f t="shared" si="270"/>
        <v>0.15642570281124499</v>
      </c>
      <c r="FQ205" s="339">
        <f t="shared" si="271"/>
        <v>5.9462686567164177E-2</v>
      </c>
    </row>
    <row r="206" spans="2:173" s="113" customFormat="1" ht="14" x14ac:dyDescent="0.15">
      <c r="B206" s="182" t="s">
        <v>451</v>
      </c>
      <c r="C206" s="293">
        <v>4496</v>
      </c>
      <c r="D206" s="289">
        <v>3958</v>
      </c>
      <c r="E206" s="289">
        <v>3528</v>
      </c>
      <c r="F206" s="289">
        <v>2351</v>
      </c>
      <c r="G206" s="289"/>
      <c r="H206" s="322">
        <v>61</v>
      </c>
      <c r="I206" s="322">
        <v>42</v>
      </c>
      <c r="J206" s="322"/>
      <c r="K206" s="322">
        <v>0.76</v>
      </c>
      <c r="L206" s="293"/>
      <c r="M206" s="329">
        <v>15.03</v>
      </c>
      <c r="N206" s="329"/>
      <c r="O206" s="329"/>
      <c r="P206" s="329"/>
      <c r="Q206" s="329"/>
      <c r="R206" s="293"/>
      <c r="S206" s="293"/>
      <c r="T206" s="293"/>
      <c r="U206" s="293"/>
      <c r="V206" s="293"/>
      <c r="W206" s="293"/>
      <c r="X206" s="293"/>
      <c r="Y206" s="293"/>
      <c r="Z206" s="293"/>
      <c r="AA206" s="293"/>
      <c r="AB206" s="293"/>
      <c r="AC206" s="293"/>
      <c r="AD206" s="293"/>
      <c r="AE206" s="293"/>
      <c r="AF206" s="331">
        <v>1.6379999999999999</v>
      </c>
      <c r="AG206" s="331">
        <v>1.974</v>
      </c>
      <c r="AH206" s="331">
        <v>0.63</v>
      </c>
      <c r="AI206" s="331">
        <v>1.64</v>
      </c>
      <c r="AJ206" s="331">
        <v>2.1</v>
      </c>
      <c r="AK206" s="331">
        <v>0.46200000000000002</v>
      </c>
      <c r="AL206" s="331">
        <v>0.58799999999999997</v>
      </c>
      <c r="AM206" s="331">
        <v>0.92400000000000004</v>
      </c>
      <c r="AN206" s="331">
        <v>0.126</v>
      </c>
      <c r="AO206" s="331">
        <v>0.92400000000000004</v>
      </c>
      <c r="AP206" s="331">
        <v>2.226</v>
      </c>
      <c r="AQ206" s="331">
        <v>2.1419999999999999</v>
      </c>
      <c r="AR206" s="331">
        <v>8.4000000000000005E-2</v>
      </c>
      <c r="AS206" s="331">
        <v>4.2</v>
      </c>
      <c r="AT206" s="331">
        <v>3.1080000000000001</v>
      </c>
      <c r="AU206" s="331">
        <v>1.47</v>
      </c>
      <c r="AV206" s="331">
        <v>1.008</v>
      </c>
      <c r="AW206" s="331"/>
      <c r="AX206" s="293"/>
      <c r="AY206" s="327">
        <v>85</v>
      </c>
      <c r="AZ206" s="327">
        <v>86</v>
      </c>
      <c r="BA206" s="327">
        <v>84</v>
      </c>
      <c r="BB206" s="337">
        <v>83</v>
      </c>
      <c r="BC206" s="337">
        <v>83</v>
      </c>
      <c r="BD206" s="337">
        <v>86</v>
      </c>
      <c r="BE206" s="337">
        <v>87</v>
      </c>
      <c r="BF206" s="337">
        <v>82</v>
      </c>
      <c r="BG206" s="337">
        <v>81</v>
      </c>
      <c r="BH206" s="337">
        <v>76</v>
      </c>
      <c r="BI206" s="337">
        <v>83</v>
      </c>
      <c r="BJ206" s="337"/>
      <c r="BK206" s="337"/>
      <c r="BL206" s="337">
        <v>64</v>
      </c>
      <c r="BM206" s="327"/>
      <c r="BN206" s="327"/>
      <c r="BO206" s="327"/>
      <c r="BP206" s="327"/>
      <c r="BQ206" s="327"/>
      <c r="BR206" s="293"/>
      <c r="BS206" s="291"/>
      <c r="BT206" s="291"/>
      <c r="BU206" s="291"/>
      <c r="BV206" s="291"/>
      <c r="BW206" s="291"/>
      <c r="BX206" s="291"/>
      <c r="BY206" s="325"/>
      <c r="BZ206" s="293"/>
      <c r="CA206" s="327"/>
      <c r="CB206" s="328"/>
      <c r="CC206" s="328"/>
      <c r="CD206" s="327"/>
      <c r="CE206" s="327"/>
      <c r="CF206" s="327"/>
      <c r="CG206" s="327"/>
      <c r="CH206" s="307"/>
      <c r="CI206" s="304"/>
      <c r="CJ206" s="304"/>
      <c r="CK206" s="304"/>
      <c r="CL206" s="304"/>
      <c r="CM206" s="304"/>
      <c r="CN206" s="304"/>
      <c r="CO206" s="304"/>
      <c r="CP206" s="304"/>
      <c r="CQ206" s="304"/>
      <c r="CR206" s="304"/>
      <c r="CS206" s="304"/>
      <c r="CT206" s="304"/>
      <c r="CU206" s="293"/>
      <c r="CV206" s="331"/>
      <c r="CW206" s="331">
        <f t="shared" si="247"/>
        <v>1.4086799999999999</v>
      </c>
      <c r="CX206" s="331">
        <f t="shared" si="248"/>
        <v>1.6581600000000001</v>
      </c>
      <c r="CY206" s="331">
        <f t="shared" si="249"/>
        <v>0.52290000000000003</v>
      </c>
      <c r="CZ206" s="331">
        <f t="shared" si="250"/>
        <v>1.3612</v>
      </c>
      <c r="DA206" s="331">
        <f t="shared" si="251"/>
        <v>1.806</v>
      </c>
      <c r="DB206" s="331">
        <f t="shared" si="252"/>
        <v>0.40194000000000002</v>
      </c>
      <c r="DC206" s="331">
        <f t="shared" si="253"/>
        <v>0.45569999999999999</v>
      </c>
      <c r="DD206" s="331">
        <f t="shared" si="254"/>
        <v>0.48215999999999992</v>
      </c>
      <c r="DE206" s="331">
        <f t="shared" si="255"/>
        <v>0.48215999999999992</v>
      </c>
      <c r="DF206" s="331">
        <f t="shared" si="256"/>
        <v>0.74844000000000011</v>
      </c>
      <c r="DG206" s="331">
        <f t="shared" si="257"/>
        <v>9.5760000000000012E-2</v>
      </c>
      <c r="DH206" s="330">
        <f t="shared" si="258"/>
        <v>0.76692000000000005</v>
      </c>
      <c r="DI206" s="330">
        <f t="shared" si="259"/>
        <v>0</v>
      </c>
      <c r="DJ206" s="330">
        <f t="shared" si="260"/>
        <v>0</v>
      </c>
      <c r="DK206" s="330">
        <f t="shared" si="261"/>
        <v>5.3760000000000002E-2</v>
      </c>
      <c r="DL206" s="330">
        <f t="shared" si="262"/>
        <v>0</v>
      </c>
      <c r="DM206" s="330">
        <f t="shared" si="263"/>
        <v>0</v>
      </c>
      <c r="DN206" s="330">
        <f t="shared" si="264"/>
        <v>0</v>
      </c>
      <c r="DO206" s="330">
        <f t="shared" si="265"/>
        <v>0</v>
      </c>
      <c r="DP206" s="330">
        <f t="shared" si="266"/>
        <v>0</v>
      </c>
      <c r="DQ206" s="330">
        <f t="shared" si="209"/>
        <v>0</v>
      </c>
      <c r="DR206" s="330">
        <f t="shared" si="210"/>
        <v>0</v>
      </c>
      <c r="DS206" s="330">
        <f t="shared" si="211"/>
        <v>0</v>
      </c>
      <c r="DT206" s="330">
        <f t="shared" si="212"/>
        <v>0</v>
      </c>
      <c r="DU206" s="289"/>
      <c r="DV206" s="289"/>
      <c r="DW206" s="311"/>
      <c r="DX206" s="312"/>
      <c r="DY206" s="289"/>
      <c r="DZ206" s="289"/>
      <c r="EA206" s="338"/>
      <c r="EB206" s="314">
        <f t="shared" si="213"/>
        <v>0</v>
      </c>
      <c r="EC206" s="289"/>
      <c r="ED206" s="289"/>
      <c r="EE206" s="289"/>
      <c r="EF206" s="289"/>
      <c r="EG206" s="389"/>
      <c r="EH206" s="289"/>
      <c r="EI206" s="289"/>
      <c r="EJ206" s="289"/>
      <c r="EK206" s="341"/>
      <c r="EL206" s="341"/>
      <c r="EM206" s="341"/>
      <c r="EN206" s="341"/>
      <c r="EO206" s="341"/>
      <c r="EP206" s="341"/>
      <c r="EQ206" s="338"/>
      <c r="ER206" s="289"/>
      <c r="ES206" s="337"/>
      <c r="ET206" s="337"/>
      <c r="EU206" s="337"/>
      <c r="EV206" s="337"/>
      <c r="EW206" s="337"/>
      <c r="EX206" s="337"/>
      <c r="EY206" s="337"/>
      <c r="EZ206" s="337"/>
      <c r="FA206" s="337"/>
      <c r="FB206" s="337"/>
      <c r="FC206" s="337"/>
      <c r="FD206" s="337"/>
      <c r="FE206" s="289"/>
      <c r="FF206" s="289"/>
      <c r="FG206" s="289"/>
      <c r="FH206" s="289"/>
      <c r="FI206" s="289"/>
      <c r="FJ206" s="289"/>
      <c r="FK206" s="289"/>
      <c r="FL206" s="289"/>
      <c r="FM206" s="335">
        <f t="shared" si="267"/>
        <v>0.56341463414634152</v>
      </c>
      <c r="FN206" s="335">
        <f t="shared" si="268"/>
        <v>0.38414634146341464</v>
      </c>
      <c r="FO206" s="338">
        <f t="shared" si="269"/>
        <v>1.4666666666666666</v>
      </c>
      <c r="FP206" s="338">
        <f t="shared" si="270"/>
        <v>7.0349691448721732E-2</v>
      </c>
      <c r="FQ206" s="339">
        <f t="shared" si="271"/>
        <v>3.2409523809523812E-2</v>
      </c>
    </row>
    <row r="207" spans="2:173" s="113" customFormat="1" ht="14" x14ac:dyDescent="0.15">
      <c r="B207" s="182" t="s">
        <v>452</v>
      </c>
      <c r="C207" s="293">
        <v>4740.0349999999999</v>
      </c>
      <c r="D207" s="289">
        <v>3782.22</v>
      </c>
      <c r="E207" s="289">
        <v>3585.97</v>
      </c>
      <c r="F207" s="289">
        <v>2556.6999999999998</v>
      </c>
      <c r="G207" s="289"/>
      <c r="H207" s="289"/>
      <c r="I207" s="289"/>
      <c r="J207" s="289"/>
      <c r="K207" s="289"/>
      <c r="L207" s="293"/>
      <c r="M207" s="329"/>
      <c r="N207" s="329"/>
      <c r="O207" s="329"/>
      <c r="P207" s="329"/>
      <c r="Q207" s="329"/>
      <c r="R207" s="293"/>
      <c r="S207" s="293"/>
      <c r="T207" s="293"/>
      <c r="U207" s="293"/>
      <c r="V207" s="293"/>
      <c r="W207" s="293"/>
      <c r="X207" s="293"/>
      <c r="Y207" s="293"/>
      <c r="Z207" s="293"/>
      <c r="AA207" s="293"/>
      <c r="AB207" s="293"/>
      <c r="AC207" s="293"/>
      <c r="AD207" s="293"/>
      <c r="AE207" s="293"/>
      <c r="AF207" s="331">
        <f>(AF190*0.935)+(AF206*0.065)</f>
        <v>4.28592</v>
      </c>
      <c r="AG207" s="331">
        <f t="shared" ref="AG207:AV207" si="273">(AG190*0.935)+(AG206*0.065)</f>
        <v>1.7552099999999999</v>
      </c>
      <c r="AH207" s="331">
        <f t="shared" si="273"/>
        <v>3.3789000000000002</v>
      </c>
      <c r="AI207" s="331">
        <f t="shared" si="273"/>
        <v>5.4454500000000001</v>
      </c>
      <c r="AJ207" s="331">
        <f t="shared" si="273"/>
        <v>3.9887000000000001</v>
      </c>
      <c r="AK207" s="331">
        <f t="shared" si="273"/>
        <v>0.9837300000000001</v>
      </c>
      <c r="AL207" s="331">
        <f t="shared" si="273"/>
        <v>3.4977200000000002</v>
      </c>
      <c r="AM207" s="331">
        <f t="shared" si="273"/>
        <v>2.6593599999999999</v>
      </c>
      <c r="AN207" s="331">
        <f t="shared" si="273"/>
        <v>0.94319000000000008</v>
      </c>
      <c r="AO207" s="331">
        <f t="shared" si="273"/>
        <v>3.4447600000000005</v>
      </c>
      <c r="AP207" s="331">
        <f t="shared" si="273"/>
        <v>0.14469000000000001</v>
      </c>
      <c r="AQ207" s="331">
        <f t="shared" si="273"/>
        <v>0.13922999999999999</v>
      </c>
      <c r="AR207" s="331">
        <f t="shared" si="273"/>
        <v>1.0620099999999999</v>
      </c>
      <c r="AS207" s="331">
        <f t="shared" si="273"/>
        <v>0.27300000000000002</v>
      </c>
      <c r="AT207" s="331">
        <f t="shared" si="273"/>
        <v>0.20202000000000001</v>
      </c>
      <c r="AU207" s="331">
        <f t="shared" si="273"/>
        <v>9.5549999999999996E-2</v>
      </c>
      <c r="AV207" s="331">
        <f t="shared" si="273"/>
        <v>6.5520000000000009E-2</v>
      </c>
      <c r="AW207" s="331">
        <f t="shared" ref="AW207" si="274">(AW190*0.935)+(AW206*0.065)</f>
        <v>0</v>
      </c>
      <c r="AX207" s="293"/>
      <c r="AY207" s="357">
        <f t="shared" ref="AY207" si="275">(AY190*0.935)+(AY206*0.065)</f>
        <v>5.5250000000000004</v>
      </c>
      <c r="AZ207" s="357">
        <f t="shared" ref="AZ207" si="276">(AZ190*0.935)+(AZ206*0.065)</f>
        <v>94.69550000000001</v>
      </c>
      <c r="BA207" s="357">
        <f t="shared" ref="BA207" si="277">(BA190*0.935)+(BA206*0.065)</f>
        <v>89.292099999999991</v>
      </c>
      <c r="BB207" s="358">
        <f t="shared" ref="BB207" si="278">(BB190*0.935)+(BB206*0.065)</f>
        <v>88.684799999999996</v>
      </c>
      <c r="BC207" s="358">
        <f t="shared" ref="BC207" si="279">(BC190*0.935)+(BC206*0.065)</f>
        <v>87.759150000000005</v>
      </c>
      <c r="BD207" s="358">
        <f t="shared" ref="BD207" si="280">(BD190*0.935)+(BD206*0.065)</f>
        <v>86.60775000000001</v>
      </c>
      <c r="BE207" s="358">
        <f t="shared" ref="BE207" si="281">(BE190*0.935)+(BE206*0.065)</f>
        <v>89.992000000000004</v>
      </c>
      <c r="BF207" s="358">
        <f t="shared" ref="BF207" si="282">(BF190*0.935)+(BF206*0.065)</f>
        <v>89.227550000000008</v>
      </c>
      <c r="BG207" s="358">
        <f t="shared" ref="BG207" si="283">(BG190*0.935)+(BG206*0.065)</f>
        <v>84.637150000000005</v>
      </c>
      <c r="BH207" s="358">
        <f t="shared" ref="BH207" si="284">(BH190*0.935)+(BH206*0.065)</f>
        <v>90.960000000000008</v>
      </c>
      <c r="BI207" s="358">
        <f t="shared" ref="BI207" si="285">(BI190*0.935)+(BI206*0.065)</f>
        <v>86.496899999999997</v>
      </c>
      <c r="BJ207" s="358">
        <f t="shared" ref="BJ207" si="286">(BJ190*0.935)+(BJ206*0.065)</f>
        <v>0</v>
      </c>
      <c r="BK207" s="358">
        <f t="shared" ref="BK207" si="287">(BK190*0.935)+(BK206*0.065)</f>
        <v>0</v>
      </c>
      <c r="BL207" s="358">
        <f t="shared" ref="BL207" si="288">(BL190*0.935)+(BL206*0.065)</f>
        <v>76.977800000000002</v>
      </c>
      <c r="BM207" s="357">
        <f t="shared" ref="BM207" si="289">(BM190*0.935)+(BM206*0.065)</f>
        <v>0</v>
      </c>
      <c r="BN207" s="357">
        <f t="shared" ref="BN207" si="290">(BN190*0.935)+(BN206*0.065)</f>
        <v>0</v>
      </c>
      <c r="BO207" s="357">
        <f t="shared" ref="BO207" si="291">(BO190*0.935)+(BO206*0.065)</f>
        <v>0</v>
      </c>
      <c r="BP207" s="357">
        <f t="shared" ref="BP207" si="292">(BP190*0.935)+(BP206*0.065)</f>
        <v>0</v>
      </c>
      <c r="BQ207" s="357">
        <f t="shared" ref="BQ207" si="293">(BQ190*0.935)+(BQ206*0.065)</f>
        <v>0</v>
      </c>
      <c r="BR207" s="293"/>
      <c r="BS207" s="291"/>
      <c r="BT207" s="291"/>
      <c r="BU207" s="291"/>
      <c r="BV207" s="291"/>
      <c r="BW207" s="291"/>
      <c r="BX207" s="291"/>
      <c r="BY207" s="325"/>
      <c r="BZ207" s="293"/>
      <c r="CA207" s="327"/>
      <c r="CB207" s="328"/>
      <c r="CC207" s="328"/>
      <c r="CD207" s="327"/>
      <c r="CE207" s="327"/>
      <c r="CF207" s="327"/>
      <c r="CG207" s="327"/>
      <c r="CH207" s="307"/>
      <c r="CI207" s="304"/>
      <c r="CJ207" s="304"/>
      <c r="CK207" s="304"/>
      <c r="CL207" s="304"/>
      <c r="CM207" s="304"/>
      <c r="CN207" s="304"/>
      <c r="CO207" s="304"/>
      <c r="CP207" s="304"/>
      <c r="CQ207" s="304"/>
      <c r="CR207" s="304"/>
      <c r="CS207" s="304"/>
      <c r="CT207" s="304"/>
      <c r="CU207" s="293"/>
      <c r="CV207" s="331"/>
      <c r="CW207" s="331">
        <f t="shared" si="247"/>
        <v>4.0585733736000007</v>
      </c>
      <c r="CX207" s="331">
        <f t="shared" si="248"/>
        <v>1.5672638684099995</v>
      </c>
      <c r="CY207" s="331">
        <f t="shared" si="249"/>
        <v>2.9965707071999996</v>
      </c>
      <c r="CZ207" s="331">
        <f t="shared" si="250"/>
        <v>4.7788806336750005</v>
      </c>
      <c r="DA207" s="331">
        <f t="shared" si="251"/>
        <v>3.4545233242500006</v>
      </c>
      <c r="DB207" s="331">
        <f t="shared" si="252"/>
        <v>0.88527830160000009</v>
      </c>
      <c r="DC207" s="331">
        <f t="shared" si="253"/>
        <v>1.70279023538</v>
      </c>
      <c r="DD207" s="331">
        <f t="shared" si="254"/>
        <v>3.1209298618600001</v>
      </c>
      <c r="DE207" s="331">
        <f t="shared" si="255"/>
        <v>3.1209298618600001</v>
      </c>
      <c r="DF207" s="331">
        <f t="shared" si="256"/>
        <v>2.2508065122400001</v>
      </c>
      <c r="DG207" s="331">
        <f t="shared" si="257"/>
        <v>0.85792562400000005</v>
      </c>
      <c r="DH207" s="330">
        <f t="shared" si="258"/>
        <v>2.9796106124400001</v>
      </c>
      <c r="DI207" s="330">
        <f t="shared" si="259"/>
        <v>0</v>
      </c>
      <c r="DJ207" s="330">
        <f t="shared" si="260"/>
        <v>0</v>
      </c>
      <c r="DK207" s="330">
        <f t="shared" si="261"/>
        <v>0.81751193377999998</v>
      </c>
      <c r="DL207" s="330">
        <f t="shared" si="262"/>
        <v>0</v>
      </c>
      <c r="DM207" s="330">
        <f t="shared" si="263"/>
        <v>0</v>
      </c>
      <c r="DN207" s="330">
        <f t="shared" si="264"/>
        <v>0</v>
      </c>
      <c r="DO207" s="330">
        <f t="shared" si="265"/>
        <v>0</v>
      </c>
      <c r="DP207" s="330">
        <f t="shared" si="266"/>
        <v>0</v>
      </c>
      <c r="DQ207" s="330">
        <f t="shared" si="209"/>
        <v>0</v>
      </c>
      <c r="DR207" s="330">
        <f t="shared" si="210"/>
        <v>0</v>
      </c>
      <c r="DS207" s="330">
        <f t="shared" si="211"/>
        <v>0</v>
      </c>
      <c r="DT207" s="330">
        <f t="shared" si="212"/>
        <v>0</v>
      </c>
      <c r="DU207" s="289"/>
      <c r="DV207" s="289"/>
      <c r="DW207" s="311"/>
      <c r="DX207" s="312"/>
      <c r="DY207" s="289"/>
      <c r="DZ207" s="289"/>
      <c r="EA207" s="338"/>
      <c r="EB207" s="314">
        <f t="shared" si="213"/>
        <v>0</v>
      </c>
      <c r="EC207" s="289"/>
      <c r="ED207" s="289"/>
      <c r="EE207" s="289"/>
      <c r="EF207" s="289"/>
      <c r="EG207" s="389"/>
      <c r="EH207" s="289"/>
      <c r="EI207" s="289"/>
      <c r="EJ207" s="289"/>
      <c r="EK207" s="341"/>
      <c r="EL207" s="341"/>
      <c r="EM207" s="341"/>
      <c r="EN207" s="341"/>
      <c r="EO207" s="341"/>
      <c r="EP207" s="341"/>
      <c r="EQ207" s="338"/>
      <c r="ER207" s="289"/>
      <c r="ES207" s="337"/>
      <c r="ET207" s="337"/>
      <c r="EU207" s="337"/>
      <c r="EV207" s="337"/>
      <c r="EW207" s="337"/>
      <c r="EX207" s="337"/>
      <c r="EY207" s="337"/>
      <c r="EZ207" s="337"/>
      <c r="FA207" s="337"/>
      <c r="FB207" s="337"/>
      <c r="FC207" s="337"/>
      <c r="FD207" s="337"/>
      <c r="FE207" s="289"/>
      <c r="FF207" s="289"/>
      <c r="FG207" s="289"/>
      <c r="FH207" s="289"/>
      <c r="FI207" s="289"/>
      <c r="FJ207" s="289"/>
      <c r="FK207" s="289"/>
      <c r="FL207" s="289"/>
      <c r="FM207" s="335">
        <f t="shared" si="267"/>
        <v>0.62349550885280303</v>
      </c>
      <c r="FN207" s="335">
        <f t="shared" si="268"/>
        <v>0.62704447691877396</v>
      </c>
      <c r="FO207" s="338">
        <f t="shared" si="269"/>
        <v>0.99434016533657998</v>
      </c>
      <c r="FP207" s="338">
        <f t="shared" si="270"/>
        <v>0.179524388609859</v>
      </c>
      <c r="FQ207" s="339" t="e">
        <f t="shared" si="271"/>
        <v>#DIV/0!</v>
      </c>
    </row>
    <row r="208" spans="2:173" s="113" customFormat="1" ht="28" x14ac:dyDescent="0.15">
      <c r="B208" s="182" t="s">
        <v>453</v>
      </c>
      <c r="C208" s="293">
        <v>4496</v>
      </c>
      <c r="D208" s="289">
        <v>3958</v>
      </c>
      <c r="E208" s="289">
        <v>3528</v>
      </c>
      <c r="F208" s="289">
        <v>2351</v>
      </c>
      <c r="G208" s="289"/>
      <c r="H208" s="289"/>
      <c r="I208" s="289"/>
      <c r="J208" s="289"/>
      <c r="K208" s="289"/>
      <c r="L208" s="293"/>
      <c r="M208" s="329"/>
      <c r="N208" s="329"/>
      <c r="O208" s="329"/>
      <c r="P208" s="329"/>
      <c r="Q208" s="329"/>
      <c r="R208" s="293"/>
      <c r="S208" s="293"/>
      <c r="T208" s="293"/>
      <c r="U208" s="293"/>
      <c r="V208" s="293"/>
      <c r="W208" s="293"/>
      <c r="X208" s="293"/>
      <c r="Y208" s="293"/>
      <c r="Z208" s="293"/>
      <c r="AA208" s="293"/>
      <c r="AB208" s="293"/>
      <c r="AC208" s="293"/>
      <c r="AD208" s="293"/>
      <c r="AE208" s="293"/>
      <c r="AF208" s="331">
        <f>(AF204*0.935)+(AF206*0.065)</f>
        <v>3.5566200000000001</v>
      </c>
      <c r="AG208" s="331">
        <f t="shared" ref="AG208:BQ208" si="294">(AG204*0.935)+(AG206*0.065)</f>
        <v>2.1759599999999999</v>
      </c>
      <c r="AH208" s="331">
        <f t="shared" si="294"/>
        <v>2.7618000000000005</v>
      </c>
      <c r="AI208" s="331">
        <f t="shared" si="294"/>
        <v>4.5665500000000003</v>
      </c>
      <c r="AJ208" s="331">
        <f t="shared" si="294"/>
        <v>4.8675999999999995</v>
      </c>
      <c r="AK208" s="331">
        <f t="shared" si="294"/>
        <v>1.7784800000000003</v>
      </c>
      <c r="AL208" s="331">
        <f t="shared" si="294"/>
        <v>2.45052</v>
      </c>
      <c r="AM208" s="331">
        <f t="shared" si="294"/>
        <v>2.36016</v>
      </c>
      <c r="AN208" s="331">
        <f t="shared" si="294"/>
        <v>1.0366900000000001</v>
      </c>
      <c r="AO208" s="331">
        <f t="shared" si="294"/>
        <v>3.0146600000000001</v>
      </c>
      <c r="AP208" s="331">
        <f t="shared" si="294"/>
        <v>2.4447900000000002</v>
      </c>
      <c r="AQ208" s="331">
        <f t="shared" si="294"/>
        <v>5.393930000000001</v>
      </c>
      <c r="AR208" s="331">
        <f t="shared" si="294"/>
        <v>0.65995999999999999</v>
      </c>
      <c r="AS208" s="331">
        <f>(AS204*0.935)+(AS206*0.065)</f>
        <v>7.6782000000000004</v>
      </c>
      <c r="AT208" s="331">
        <f t="shared" si="294"/>
        <v>3.7363200000000001</v>
      </c>
      <c r="AU208" s="331">
        <f t="shared" si="294"/>
        <v>1.9562000000000002</v>
      </c>
      <c r="AV208" s="331">
        <f t="shared" si="294"/>
        <v>2.1505700000000001</v>
      </c>
      <c r="AW208" s="331">
        <f t="shared" si="294"/>
        <v>1.9261000000000001</v>
      </c>
      <c r="AX208" s="293"/>
      <c r="AY208" s="327">
        <f t="shared" si="294"/>
        <v>85.000000000000014</v>
      </c>
      <c r="AZ208" s="327">
        <f t="shared" si="294"/>
        <v>86.000000000000014</v>
      </c>
      <c r="BA208" s="327">
        <f t="shared" si="294"/>
        <v>84</v>
      </c>
      <c r="BB208" s="337">
        <f t="shared" si="294"/>
        <v>83</v>
      </c>
      <c r="BC208" s="337">
        <f t="shared" si="294"/>
        <v>83</v>
      </c>
      <c r="BD208" s="337">
        <f t="shared" si="294"/>
        <v>86.000000000000014</v>
      </c>
      <c r="BE208" s="337">
        <f t="shared" si="294"/>
        <v>87</v>
      </c>
      <c r="BF208" s="337">
        <f t="shared" si="294"/>
        <v>82</v>
      </c>
      <c r="BG208" s="337">
        <f t="shared" si="294"/>
        <v>81</v>
      </c>
      <c r="BH208" s="337">
        <f t="shared" si="294"/>
        <v>76</v>
      </c>
      <c r="BI208" s="337">
        <f t="shared" si="294"/>
        <v>83</v>
      </c>
      <c r="BJ208" s="337">
        <f t="shared" si="294"/>
        <v>0</v>
      </c>
      <c r="BK208" s="337">
        <f t="shared" si="294"/>
        <v>0</v>
      </c>
      <c r="BL208" s="337">
        <f t="shared" si="294"/>
        <v>64</v>
      </c>
      <c r="BM208" s="327">
        <f t="shared" si="294"/>
        <v>0</v>
      </c>
      <c r="BN208" s="327">
        <f t="shared" si="294"/>
        <v>0</v>
      </c>
      <c r="BO208" s="327">
        <f t="shared" si="294"/>
        <v>0</v>
      </c>
      <c r="BP208" s="327">
        <f t="shared" si="294"/>
        <v>0</v>
      </c>
      <c r="BQ208" s="357">
        <f t="shared" si="294"/>
        <v>69.19</v>
      </c>
      <c r="BR208" s="293"/>
      <c r="BS208" s="291"/>
      <c r="BT208" s="291"/>
      <c r="BU208" s="291"/>
      <c r="BV208" s="291"/>
      <c r="BW208" s="291"/>
      <c r="BX208" s="291"/>
      <c r="BY208" s="325"/>
      <c r="BZ208" s="293"/>
      <c r="CA208" s="327"/>
      <c r="CB208" s="328"/>
      <c r="CC208" s="328"/>
      <c r="CD208" s="327"/>
      <c r="CE208" s="327"/>
      <c r="CF208" s="327"/>
      <c r="CG208" s="327"/>
      <c r="CH208" s="307"/>
      <c r="CI208" s="304"/>
      <c r="CJ208" s="304"/>
      <c r="CK208" s="304"/>
      <c r="CL208" s="304"/>
      <c r="CM208" s="304"/>
      <c r="CN208" s="304"/>
      <c r="CO208" s="304"/>
      <c r="CP208" s="304"/>
      <c r="CQ208" s="304"/>
      <c r="CR208" s="304"/>
      <c r="CS208" s="304"/>
      <c r="CT208" s="304"/>
      <c r="CU208" s="293"/>
      <c r="CV208" s="331"/>
      <c r="CW208" s="331">
        <f t="shared" ref="CW208" si="295">AF208*AZ208/100</f>
        <v>3.0586932000000009</v>
      </c>
      <c r="CX208" s="331">
        <f t="shared" ref="CX208" si="296">AG208*BA208/100</f>
        <v>1.8278064000000001</v>
      </c>
      <c r="CY208" s="331">
        <f t="shared" ref="CY208" si="297">AH208*BB208/100</f>
        <v>2.2922940000000001</v>
      </c>
      <c r="CZ208" s="331">
        <f t="shared" ref="CZ208" si="298">AI208*BC208/100</f>
        <v>3.7902365000000002</v>
      </c>
      <c r="DA208" s="331">
        <f t="shared" ref="DA208" si="299">AJ208*BD208/100</f>
        <v>4.1861360000000003</v>
      </c>
      <c r="DB208" s="331">
        <f t="shared" ref="DB208" si="300">AK208*BE208/100</f>
        <v>1.5472776000000001</v>
      </c>
      <c r="DC208" s="331">
        <f t="shared" ref="DC208" si="301">(AK208*BE208+BL208*AR208)/100</f>
        <v>1.9696520000000002</v>
      </c>
      <c r="DD208" s="331">
        <f t="shared" ref="DD208" si="302">AL208*BF208/100</f>
        <v>2.0094264000000002</v>
      </c>
      <c r="DE208" s="331">
        <f t="shared" ref="DE208" si="303">DD208+BQ208*AW208/100</f>
        <v>3.3420949900000005</v>
      </c>
      <c r="DF208" s="331">
        <f t="shared" ref="DF208" si="304">AM208*BG208/100</f>
        <v>1.9117295999999999</v>
      </c>
      <c r="DG208" s="331">
        <f t="shared" ref="DG208" si="305">AN208*BH208/100</f>
        <v>0.78788440000000004</v>
      </c>
      <c r="DH208" s="330">
        <f t="shared" ref="DH208" si="306">AO208*BI208/100</f>
        <v>2.5021678000000001</v>
      </c>
      <c r="DI208" s="330">
        <f t="shared" ref="DI208" si="307">AP208*BJ208/100</f>
        <v>0</v>
      </c>
      <c r="DJ208" s="330">
        <f t="shared" ref="DJ208" si="308">AQ208*BK208/100</f>
        <v>0</v>
      </c>
      <c r="DK208" s="330">
        <f t="shared" ref="DK208" si="309">AR208*BL208/100</f>
        <v>0.42237439999999998</v>
      </c>
      <c r="DL208" s="330">
        <f t="shared" ref="DL208" si="310">AS208*BM208/100</f>
        <v>0</v>
      </c>
      <c r="DM208" s="330">
        <f t="shared" ref="DM208" si="311">AT208*BN208/100</f>
        <v>0</v>
      </c>
      <c r="DN208" s="330">
        <f t="shared" ref="DN208" si="312">AU208*BO208/100</f>
        <v>0</v>
      </c>
      <c r="DO208" s="330">
        <f t="shared" ref="DO208" si="313">AV208*BP208/100</f>
        <v>0</v>
      </c>
      <c r="DP208" s="330">
        <f t="shared" ref="DP208" si="314">AW208*BQ208/100</f>
        <v>1.3326685900000002</v>
      </c>
      <c r="DQ208" s="330">
        <f t="shared" ref="DQ208:DQ215" si="315">CB208*BX208/100</f>
        <v>0</v>
      </c>
      <c r="DR208" s="330">
        <f t="shared" ref="DR208:DR215" si="316">CC208*BX208/100</f>
        <v>0</v>
      </c>
      <c r="DS208" s="330">
        <f t="shared" ref="DS208:DS215" si="317">BS208*CD208/100</f>
        <v>0</v>
      </c>
      <c r="DT208" s="330">
        <f t="shared" ref="DT208:DT215" si="318">BS208*CE208/100</f>
        <v>0</v>
      </c>
      <c r="DU208" s="289"/>
      <c r="DV208" s="289"/>
      <c r="DW208" s="311"/>
      <c r="DX208" s="312"/>
      <c r="DY208" s="289"/>
      <c r="DZ208" s="289"/>
      <c r="EA208" s="338"/>
      <c r="EB208" s="314">
        <f t="shared" si="213"/>
        <v>0</v>
      </c>
      <c r="EC208" s="289"/>
      <c r="ED208" s="289"/>
      <c r="EE208" s="289"/>
      <c r="EF208" s="289"/>
      <c r="EG208" s="389"/>
      <c r="EH208" s="289"/>
      <c r="EI208" s="289"/>
      <c r="EJ208" s="289"/>
      <c r="EK208" s="341"/>
      <c r="EL208" s="341"/>
      <c r="EM208" s="341"/>
      <c r="EN208" s="341"/>
      <c r="EO208" s="341"/>
      <c r="EP208" s="341"/>
      <c r="EQ208" s="338"/>
      <c r="ER208" s="289"/>
      <c r="ES208" s="337"/>
      <c r="ET208" s="337"/>
      <c r="EU208" s="337"/>
      <c r="EV208" s="337"/>
      <c r="EW208" s="337"/>
      <c r="EX208" s="337"/>
      <c r="EY208" s="337"/>
      <c r="EZ208" s="337"/>
      <c r="FA208" s="337"/>
      <c r="FB208" s="337"/>
      <c r="FC208" s="337"/>
      <c r="FD208" s="337"/>
      <c r="FE208" s="289"/>
      <c r="FF208" s="289"/>
      <c r="FG208" s="289"/>
      <c r="FH208" s="289"/>
      <c r="FI208" s="289"/>
      <c r="FJ208" s="289"/>
      <c r="FK208" s="289"/>
      <c r="FL208" s="289"/>
      <c r="FM208" s="335">
        <f t="shared" si="267"/>
        <v>0.66016139098444115</v>
      </c>
      <c r="FN208" s="335">
        <f t="shared" si="268"/>
        <v>0.60478917344603689</v>
      </c>
      <c r="FO208" s="338">
        <f t="shared" si="269"/>
        <v>1.0915562314432616</v>
      </c>
      <c r="FP208" s="338">
        <f t="shared" si="270"/>
        <v>0.20787209452497224</v>
      </c>
      <c r="FQ208" s="339" t="e">
        <f t="shared" si="271"/>
        <v>#DIV/0!</v>
      </c>
    </row>
    <row r="209" spans="2:173" ht="14" x14ac:dyDescent="0.15">
      <c r="B209" s="182" t="s">
        <v>454</v>
      </c>
      <c r="C209" s="157"/>
      <c r="D209" s="295"/>
      <c r="E209" s="295"/>
      <c r="F209" s="295"/>
      <c r="G209" s="295"/>
      <c r="H209" s="295"/>
      <c r="I209" s="295"/>
      <c r="J209" s="295"/>
      <c r="K209" s="295"/>
      <c r="L209" s="157"/>
      <c r="M209" s="307"/>
      <c r="N209" s="307"/>
      <c r="O209" s="307"/>
      <c r="P209" s="307"/>
      <c r="Q209" s="307"/>
      <c r="R209" s="157"/>
      <c r="S209" s="157"/>
      <c r="T209" s="157"/>
      <c r="U209" s="157"/>
      <c r="V209" s="157"/>
      <c r="W209" s="157"/>
      <c r="X209" s="157"/>
      <c r="Y209" s="157"/>
      <c r="Z209" s="157"/>
      <c r="AA209" s="157"/>
      <c r="AB209" s="157"/>
      <c r="AC209" s="157"/>
      <c r="AD209" s="157"/>
      <c r="AE209" s="157"/>
      <c r="AF209" s="309"/>
      <c r="AG209" s="309"/>
      <c r="AH209" s="309"/>
      <c r="AI209" s="309"/>
      <c r="AJ209" s="309"/>
      <c r="AK209" s="309"/>
      <c r="AL209" s="309"/>
      <c r="AM209" s="309"/>
      <c r="AN209" s="309"/>
      <c r="AO209" s="309"/>
      <c r="AP209" s="309"/>
      <c r="AQ209" s="309"/>
      <c r="AR209" s="309"/>
      <c r="AS209" s="309"/>
      <c r="AT209" s="309"/>
      <c r="AU209" s="309"/>
      <c r="AV209" s="309"/>
      <c r="AW209" s="309"/>
      <c r="AX209" s="157"/>
      <c r="AY209" s="305"/>
      <c r="AZ209" s="305"/>
      <c r="BA209" s="305"/>
      <c r="BB209" s="318"/>
      <c r="BC209" s="318"/>
      <c r="BD209" s="318"/>
      <c r="BE209" s="318"/>
      <c r="BF209" s="318"/>
      <c r="BG209" s="318"/>
      <c r="BH209" s="318"/>
      <c r="BI209" s="318"/>
      <c r="BJ209" s="318"/>
      <c r="BK209" s="318"/>
      <c r="BL209" s="318"/>
      <c r="BM209" s="305"/>
      <c r="BN209" s="305"/>
      <c r="BO209" s="305"/>
      <c r="BP209" s="305"/>
      <c r="BQ209" s="305"/>
      <c r="BR209" s="157"/>
      <c r="BS209" s="303"/>
      <c r="BT209" s="303"/>
      <c r="BU209" s="303"/>
      <c r="BV209" s="303"/>
      <c r="BW209" s="303"/>
      <c r="BX209" s="303"/>
      <c r="BY209" s="304"/>
      <c r="BZ209" s="157"/>
      <c r="CA209" s="305"/>
      <c r="CB209" s="306"/>
      <c r="CC209" s="306"/>
      <c r="CD209" s="305"/>
      <c r="CE209" s="305"/>
      <c r="CF209" s="305"/>
      <c r="CG209" s="305"/>
      <c r="CH209" s="307"/>
      <c r="CI209" s="304"/>
      <c r="CJ209" s="304"/>
      <c r="CK209" s="304"/>
      <c r="CL209" s="304"/>
      <c r="CM209" s="304"/>
      <c r="CN209" s="304"/>
      <c r="CO209" s="304"/>
      <c r="CP209" s="304"/>
      <c r="CQ209" s="304"/>
      <c r="CR209" s="304"/>
      <c r="CS209" s="304"/>
      <c r="CT209" s="304"/>
      <c r="CU209" s="157"/>
      <c r="CV209" s="309"/>
      <c r="CW209" s="331">
        <f t="shared" ref="CW209:CW210" si="319">AF209*AZ209/100</f>
        <v>0</v>
      </c>
      <c r="CX209" s="331">
        <f t="shared" ref="CX209:CX210" si="320">AG209*BA209/100</f>
        <v>0</v>
      </c>
      <c r="CY209" s="331">
        <f t="shared" ref="CY209:CY210" si="321">AH209*BB209/100</f>
        <v>0</v>
      </c>
      <c r="CZ209" s="331">
        <f t="shared" ref="CZ209:CZ210" si="322">AI209*BC209/100</f>
        <v>0</v>
      </c>
      <c r="DA209" s="331">
        <f t="shared" ref="DA209:DA210" si="323">AJ209*BD209/100</f>
        <v>0</v>
      </c>
      <c r="DB209" s="331">
        <f t="shared" ref="DB209:DB210" si="324">AK209*BE209/100</f>
        <v>0</v>
      </c>
      <c r="DC209" s="331">
        <f t="shared" ref="DC209:DC210" si="325">(AK209*BE209+BL209*AR209)/100</f>
        <v>0</v>
      </c>
      <c r="DD209" s="331">
        <f t="shared" ref="DD209:DD210" si="326">AL209*BF209/100</f>
        <v>0</v>
      </c>
      <c r="DE209" s="331">
        <f t="shared" ref="DE209" si="327">DD209+BQ209*AW209/100</f>
        <v>0</v>
      </c>
      <c r="DF209" s="331">
        <f t="shared" ref="DF209:DF210" si="328">AM209*BG209/100</f>
        <v>0</v>
      </c>
      <c r="DG209" s="331">
        <f t="shared" ref="DG209:DG210" si="329">AN209*BH209/100</f>
        <v>0</v>
      </c>
      <c r="DH209" s="330">
        <f t="shared" ref="DH209:DH210" si="330">AO209*BI209/100</f>
        <v>0</v>
      </c>
      <c r="DI209" s="330">
        <f t="shared" ref="DI209:DI210" si="331">AP209*BJ209/100</f>
        <v>0</v>
      </c>
      <c r="DJ209" s="330">
        <f t="shared" ref="DJ209:DJ210" si="332">AQ209*BK209/100</f>
        <v>0</v>
      </c>
      <c r="DK209" s="330">
        <f t="shared" ref="DK209:DK210" si="333">AR209*BL209/100</f>
        <v>0</v>
      </c>
      <c r="DL209" s="330">
        <f t="shared" ref="DL209:DL210" si="334">AS209*BM209/100</f>
        <v>0</v>
      </c>
      <c r="DM209" s="330">
        <f t="shared" ref="DM209:DM210" si="335">AT209*BN209/100</f>
        <v>0</v>
      </c>
      <c r="DN209" s="330">
        <f t="shared" ref="DN209:DN210" si="336">AU209*BO209/100</f>
        <v>0</v>
      </c>
      <c r="DO209" s="330">
        <f t="shared" ref="DO209:DO210" si="337">AV209*BP209/100</f>
        <v>0</v>
      </c>
      <c r="DP209" s="330">
        <f t="shared" ref="DP209:DP210" si="338">AW209*BQ209/100</f>
        <v>0</v>
      </c>
      <c r="DQ209" s="330">
        <f t="shared" si="315"/>
        <v>0</v>
      </c>
      <c r="DR209" s="330">
        <f t="shared" si="316"/>
        <v>0</v>
      </c>
      <c r="DS209" s="330">
        <f t="shared" si="317"/>
        <v>0</v>
      </c>
      <c r="DT209" s="330">
        <f t="shared" si="318"/>
        <v>0</v>
      </c>
      <c r="DU209" s="289"/>
      <c r="DV209" s="295"/>
      <c r="DW209" s="311"/>
      <c r="DX209" s="312"/>
      <c r="DY209" s="295"/>
      <c r="DZ209" s="295"/>
      <c r="EA209" s="319"/>
      <c r="EB209" s="314">
        <f t="shared" si="213"/>
        <v>0</v>
      </c>
      <c r="EC209" s="295"/>
      <c r="ED209" s="295"/>
      <c r="EE209" s="295"/>
      <c r="EF209" s="295"/>
      <c r="EG209" s="347"/>
      <c r="EH209" s="295"/>
      <c r="EI209" s="295"/>
      <c r="EJ209" s="295"/>
      <c r="EK209" s="352">
        <v>5.2499999999999998E-2</v>
      </c>
      <c r="EL209" s="352">
        <v>0.06</v>
      </c>
      <c r="EM209" s="352">
        <v>0.02</v>
      </c>
      <c r="EN209" s="352">
        <v>8.9999999999999993E-3</v>
      </c>
      <c r="EO209" s="352">
        <v>1.4999999999999999E-4</v>
      </c>
      <c r="EP209" s="352">
        <v>2.0000000000000001E-4</v>
      </c>
      <c r="EQ209" s="359">
        <v>9.8999999999999994E-5</v>
      </c>
      <c r="ER209" s="295"/>
      <c r="ES209" s="318">
        <v>2000250</v>
      </c>
      <c r="ET209" s="318">
        <v>327000</v>
      </c>
      <c r="EU209" s="318">
        <v>20000</v>
      </c>
      <c r="EV209" s="318">
        <v>795</v>
      </c>
      <c r="EW209" s="318">
        <v>9</v>
      </c>
      <c r="EX209" s="318">
        <v>13635</v>
      </c>
      <c r="EY209" s="318">
        <v>6500</v>
      </c>
      <c r="EZ209" s="318">
        <v>1800</v>
      </c>
      <c r="FA209" s="318">
        <v>50</v>
      </c>
      <c r="FB209" s="318">
        <v>300</v>
      </c>
      <c r="FC209" s="318">
        <v>1000</v>
      </c>
      <c r="FD209" s="318"/>
      <c r="FE209" s="295"/>
      <c r="FF209" s="295"/>
      <c r="FG209" s="295"/>
      <c r="FH209" s="295"/>
      <c r="FI209" s="295"/>
      <c r="FJ209" s="295"/>
      <c r="FK209" s="295"/>
      <c r="FL209" s="295"/>
      <c r="FM209" s="335" t="e">
        <f t="shared" si="267"/>
        <v>#DIV/0!</v>
      </c>
      <c r="FN209" s="335" t="e">
        <f t="shared" si="268"/>
        <v>#DIV/0!</v>
      </c>
      <c r="FO209" s="338" t="e">
        <f t="shared" si="269"/>
        <v>#DIV/0!</v>
      </c>
      <c r="FP209" s="338" t="e">
        <f t="shared" si="270"/>
        <v>#DIV/0!</v>
      </c>
      <c r="FQ209" s="339" t="e">
        <f t="shared" si="271"/>
        <v>#DIV/0!</v>
      </c>
    </row>
    <row r="210" spans="2:173" ht="14" x14ac:dyDescent="0.15">
      <c r="B210" s="182" t="s">
        <v>455</v>
      </c>
      <c r="C210" s="157"/>
      <c r="D210" s="295"/>
      <c r="E210" s="295">
        <v>3395</v>
      </c>
      <c r="F210" s="295">
        <v>2638</v>
      </c>
      <c r="G210" s="295"/>
      <c r="H210" s="296">
        <v>95</v>
      </c>
      <c r="I210" s="296">
        <v>70</v>
      </c>
      <c r="J210" s="295"/>
      <c r="K210" s="295"/>
      <c r="L210" s="157"/>
      <c r="M210" s="307"/>
      <c r="N210" s="307"/>
      <c r="O210" s="307"/>
      <c r="P210" s="307"/>
      <c r="Q210" s="307"/>
      <c r="R210" s="157"/>
      <c r="S210" s="157"/>
      <c r="T210" s="157"/>
      <c r="U210" s="157"/>
      <c r="V210" s="157"/>
      <c r="W210" s="157"/>
      <c r="X210" s="157"/>
      <c r="Y210" s="157"/>
      <c r="Z210" s="157"/>
      <c r="AA210" s="157"/>
      <c r="AB210" s="157"/>
      <c r="AC210" s="157"/>
      <c r="AD210" s="157"/>
      <c r="AE210" s="157"/>
      <c r="AF210" s="309">
        <v>0.42</v>
      </c>
      <c r="AG210" s="309">
        <v>0.1</v>
      </c>
      <c r="AH210" s="309">
        <v>0.72</v>
      </c>
      <c r="AI210" s="309">
        <v>0.53</v>
      </c>
      <c r="AJ210" s="309">
        <v>1.49</v>
      </c>
      <c r="AK210" s="309">
        <v>0.25</v>
      </c>
      <c r="AL210" s="309">
        <v>0.37</v>
      </c>
      <c r="AM210" s="309">
        <v>80</v>
      </c>
      <c r="AN210" s="309">
        <v>0.06</v>
      </c>
      <c r="AO210" s="309">
        <v>0.45</v>
      </c>
      <c r="AP210" s="309">
        <v>0.6</v>
      </c>
      <c r="AQ210" s="309">
        <v>0.62</v>
      </c>
      <c r="AR210" s="309">
        <v>0.06</v>
      </c>
      <c r="AS210" s="309">
        <v>0.94</v>
      </c>
      <c r="AT210" s="309">
        <v>0.5</v>
      </c>
      <c r="AU210" s="309">
        <v>0.33</v>
      </c>
      <c r="AV210" s="309">
        <v>0.23</v>
      </c>
      <c r="AW210" s="309">
        <v>0.16</v>
      </c>
      <c r="AX210" s="157"/>
      <c r="AY210" s="305"/>
      <c r="AZ210" s="360">
        <v>45.2</v>
      </c>
      <c r="BA210" s="360">
        <v>42.3</v>
      </c>
      <c r="BB210" s="361">
        <v>75</v>
      </c>
      <c r="BC210" s="361">
        <v>44.8</v>
      </c>
      <c r="BD210" s="361">
        <v>84</v>
      </c>
      <c r="BE210" s="361">
        <v>43</v>
      </c>
      <c r="BF210" s="361">
        <v>52</v>
      </c>
      <c r="BG210" s="361">
        <v>100</v>
      </c>
      <c r="BH210" s="361">
        <v>62.8</v>
      </c>
      <c r="BI210" s="361">
        <v>47.6</v>
      </c>
      <c r="BJ210" s="361">
        <v>43.1</v>
      </c>
      <c r="BK210" s="361">
        <v>45.5</v>
      </c>
      <c r="BL210" s="361">
        <v>33</v>
      </c>
      <c r="BM210" s="360">
        <v>53</v>
      </c>
      <c r="BN210" s="360">
        <v>26</v>
      </c>
      <c r="BO210" s="360">
        <v>45</v>
      </c>
      <c r="BP210" s="360">
        <v>50</v>
      </c>
      <c r="BQ210" s="360">
        <v>60</v>
      </c>
      <c r="BR210" s="157"/>
      <c r="BS210" s="303">
        <v>0.01</v>
      </c>
      <c r="BT210" s="303"/>
      <c r="BU210" s="303">
        <v>0.48</v>
      </c>
      <c r="BV210" s="303">
        <v>0.04</v>
      </c>
      <c r="BW210" s="303">
        <v>0.01</v>
      </c>
      <c r="BX210" s="303">
        <v>0.88</v>
      </c>
      <c r="BY210" s="304"/>
      <c r="BZ210" s="157"/>
      <c r="CA210" s="305"/>
      <c r="CB210" s="306"/>
      <c r="CC210" s="306">
        <v>96.8</v>
      </c>
      <c r="CD210" s="305"/>
      <c r="CE210" s="305"/>
      <c r="CF210" s="305"/>
      <c r="CG210" s="305"/>
      <c r="CH210" s="307"/>
      <c r="CI210" s="304"/>
      <c r="CJ210" s="304"/>
      <c r="CK210" s="304"/>
      <c r="CL210" s="304"/>
      <c r="CM210" s="304"/>
      <c r="CN210" s="304"/>
      <c r="CO210" s="304"/>
      <c r="CP210" s="304"/>
      <c r="CQ210" s="304"/>
      <c r="CR210" s="304"/>
      <c r="CS210" s="304"/>
      <c r="CT210" s="304"/>
      <c r="CU210" s="157"/>
      <c r="CV210" s="309"/>
      <c r="CW210" s="331">
        <f t="shared" si="319"/>
        <v>0.18984000000000001</v>
      </c>
      <c r="CX210" s="331">
        <f t="shared" si="320"/>
        <v>4.2299999999999997E-2</v>
      </c>
      <c r="CY210" s="331">
        <f t="shared" si="321"/>
        <v>0.54</v>
      </c>
      <c r="CZ210" s="331">
        <f t="shared" si="322"/>
        <v>0.23743999999999998</v>
      </c>
      <c r="DA210" s="331">
        <f t="shared" si="323"/>
        <v>1.2516</v>
      </c>
      <c r="DB210" s="331">
        <f t="shared" si="324"/>
        <v>0.1075</v>
      </c>
      <c r="DC210" s="331">
        <f t="shared" si="325"/>
        <v>0.1273</v>
      </c>
      <c r="DD210" s="331">
        <f t="shared" si="326"/>
        <v>0.19239999999999999</v>
      </c>
      <c r="DE210" s="331">
        <f>DD210+BQ210*AW210/100</f>
        <v>0.28839999999999999</v>
      </c>
      <c r="DF210" s="331">
        <f t="shared" si="328"/>
        <v>80</v>
      </c>
      <c r="DG210" s="331">
        <f t="shared" si="329"/>
        <v>3.7679999999999998E-2</v>
      </c>
      <c r="DH210" s="330">
        <f t="shared" si="330"/>
        <v>0.21420000000000003</v>
      </c>
      <c r="DI210" s="330">
        <f t="shared" si="331"/>
        <v>0.2586</v>
      </c>
      <c r="DJ210" s="330">
        <f t="shared" si="332"/>
        <v>0.28210000000000002</v>
      </c>
      <c r="DK210" s="330">
        <f t="shared" si="333"/>
        <v>1.9799999999999998E-2</v>
      </c>
      <c r="DL210" s="330">
        <f t="shared" si="334"/>
        <v>0.49819999999999998</v>
      </c>
      <c r="DM210" s="330">
        <f t="shared" si="335"/>
        <v>0.13</v>
      </c>
      <c r="DN210" s="330">
        <f t="shared" si="336"/>
        <v>0.14850000000000002</v>
      </c>
      <c r="DO210" s="330">
        <f t="shared" si="337"/>
        <v>0.115</v>
      </c>
      <c r="DP210" s="330">
        <f t="shared" si="338"/>
        <v>9.6000000000000002E-2</v>
      </c>
      <c r="DQ210" s="330">
        <f t="shared" si="315"/>
        <v>0</v>
      </c>
      <c r="DR210" s="330">
        <f t="shared" si="316"/>
        <v>0.85183999999999993</v>
      </c>
      <c r="DS210" s="330">
        <f t="shared" si="317"/>
        <v>0</v>
      </c>
      <c r="DT210" s="330">
        <f t="shared" si="318"/>
        <v>0</v>
      </c>
      <c r="DU210" s="289"/>
      <c r="DV210" s="295"/>
      <c r="DW210" s="311"/>
      <c r="DX210" s="312"/>
      <c r="DY210" s="295"/>
      <c r="DZ210" s="295"/>
      <c r="EA210" s="319">
        <v>1</v>
      </c>
      <c r="EB210" s="314">
        <f t="shared" si="213"/>
        <v>0.88</v>
      </c>
      <c r="EC210" s="295"/>
      <c r="ED210" s="295"/>
      <c r="EE210" s="295"/>
      <c r="EF210" s="295"/>
      <c r="EG210" s="347"/>
      <c r="EH210" s="295"/>
      <c r="EI210" s="295"/>
      <c r="EJ210" s="295"/>
      <c r="EK210" s="352"/>
      <c r="EL210" s="352"/>
      <c r="EM210" s="352"/>
      <c r="EN210" s="352"/>
      <c r="EO210" s="352"/>
      <c r="EP210" s="352"/>
      <c r="EQ210" s="319"/>
      <c r="ER210" s="295"/>
      <c r="ES210" s="318"/>
      <c r="ET210" s="318"/>
      <c r="EU210" s="318"/>
      <c r="EV210" s="318"/>
      <c r="EW210" s="318"/>
      <c r="EX210" s="318"/>
      <c r="EY210" s="318"/>
      <c r="EZ210" s="318"/>
      <c r="FA210" s="318"/>
      <c r="FB210" s="318"/>
      <c r="FC210" s="318"/>
      <c r="FD210" s="318"/>
      <c r="FE210" s="295"/>
      <c r="FF210" s="295"/>
      <c r="FG210" s="295"/>
      <c r="FH210" s="295"/>
      <c r="FI210" s="295"/>
      <c r="FJ210" s="295"/>
      <c r="FK210" s="295"/>
      <c r="FL210" s="295"/>
      <c r="FM210" s="335">
        <f t="shared" si="267"/>
        <v>0.90212264150943411</v>
      </c>
      <c r="FN210" s="335">
        <f t="shared" si="268"/>
        <v>2.2742587601078168</v>
      </c>
      <c r="FO210" s="338">
        <f t="shared" si="269"/>
        <v>0.39666666666666667</v>
      </c>
      <c r="FP210" s="338">
        <f t="shared" si="270"/>
        <v>0.15869272237196766</v>
      </c>
      <c r="FQ210" s="339">
        <f t="shared" si="271"/>
        <v>3.3919999999999996E-3</v>
      </c>
    </row>
    <row r="211" spans="2:173" ht="14" x14ac:dyDescent="0.15">
      <c r="B211" s="182" t="s">
        <v>456</v>
      </c>
      <c r="C211" s="157"/>
      <c r="D211" s="157"/>
      <c r="E211" s="157"/>
      <c r="F211" s="157"/>
      <c r="G211" s="157"/>
      <c r="H211" s="157"/>
      <c r="I211" s="157"/>
      <c r="J211" s="157"/>
      <c r="K211" s="157"/>
      <c r="L211" s="157"/>
      <c r="M211" s="307"/>
      <c r="N211" s="307"/>
      <c r="O211" s="307"/>
      <c r="P211" s="307"/>
      <c r="Q211" s="307"/>
      <c r="R211" s="157"/>
      <c r="S211" s="157"/>
      <c r="T211" s="157"/>
      <c r="U211" s="157"/>
      <c r="V211" s="157"/>
      <c r="W211" s="157"/>
      <c r="X211" s="157"/>
      <c r="Y211" s="157"/>
      <c r="Z211" s="157"/>
      <c r="AA211" s="157"/>
      <c r="AB211" s="157"/>
      <c r="AC211" s="157"/>
      <c r="AD211" s="157"/>
      <c r="AE211" s="157"/>
      <c r="AF211" s="309"/>
      <c r="AG211" s="309"/>
      <c r="AH211" s="309"/>
      <c r="AI211" s="309"/>
      <c r="AJ211" s="309"/>
      <c r="AK211" s="309"/>
      <c r="AL211" s="309"/>
      <c r="AM211" s="309"/>
      <c r="AN211" s="309"/>
      <c r="AO211" s="309"/>
      <c r="AP211" s="309"/>
      <c r="AQ211" s="309"/>
      <c r="AR211" s="309"/>
      <c r="AS211" s="309"/>
      <c r="AT211" s="309"/>
      <c r="AU211" s="309"/>
      <c r="AV211" s="309"/>
      <c r="AW211" s="309"/>
      <c r="AX211" s="157"/>
      <c r="AY211" s="305"/>
      <c r="AZ211" s="305"/>
      <c r="BA211" s="305"/>
      <c r="BB211" s="318"/>
      <c r="BC211" s="318"/>
      <c r="BD211" s="318"/>
      <c r="BE211" s="318"/>
      <c r="BF211" s="318"/>
      <c r="BG211" s="318"/>
      <c r="BH211" s="318"/>
      <c r="BI211" s="318"/>
      <c r="BJ211" s="318"/>
      <c r="BK211" s="318"/>
      <c r="BL211" s="318"/>
      <c r="BM211" s="305"/>
      <c r="BN211" s="305"/>
      <c r="BO211" s="305"/>
      <c r="BP211" s="305"/>
      <c r="BQ211" s="305"/>
      <c r="BR211" s="157"/>
      <c r="BS211" s="303"/>
      <c r="BT211" s="303"/>
      <c r="BU211" s="303"/>
      <c r="BV211" s="303"/>
      <c r="BW211" s="303"/>
      <c r="BX211" s="303"/>
      <c r="BY211" s="304"/>
      <c r="BZ211" s="157"/>
      <c r="CA211" s="305"/>
      <c r="CB211" s="306"/>
      <c r="CC211" s="306"/>
      <c r="CD211" s="305"/>
      <c r="CE211" s="305"/>
      <c r="CF211" s="305"/>
      <c r="CG211" s="305"/>
      <c r="CH211" s="307"/>
      <c r="CI211" s="304"/>
      <c r="CJ211" s="304"/>
      <c r="CK211" s="304"/>
      <c r="CL211" s="304"/>
      <c r="CM211" s="304"/>
      <c r="CN211" s="304"/>
      <c r="CO211" s="304"/>
      <c r="CP211" s="304"/>
      <c r="CQ211" s="304"/>
      <c r="CR211" s="304"/>
      <c r="CS211" s="304"/>
      <c r="CT211" s="304"/>
      <c r="CU211" s="157"/>
      <c r="CV211" s="309"/>
      <c r="CW211" s="331">
        <f t="shared" ref="CW211:CW213" si="339">AF211*AZ211/100</f>
        <v>0</v>
      </c>
      <c r="CX211" s="331">
        <f t="shared" ref="CX211:CX213" si="340">AG211*BA211/100</f>
        <v>0</v>
      </c>
      <c r="CY211" s="331">
        <f t="shared" ref="CY211:CY213" si="341">AH211*BB211/100</f>
        <v>0</v>
      </c>
      <c r="CZ211" s="331">
        <f t="shared" ref="CZ211:CZ213" si="342">AI211*BC211/100</f>
        <v>0</v>
      </c>
      <c r="DA211" s="331">
        <f t="shared" ref="DA211:DA213" si="343">AJ211*BD211/100</f>
        <v>0</v>
      </c>
      <c r="DB211" s="331">
        <f t="shared" ref="DB211:DB213" si="344">AK211*BE211/100</f>
        <v>0</v>
      </c>
      <c r="DC211" s="331">
        <f t="shared" ref="DC211:DC213" si="345">(AK211*BE211+BL211*AR211)/100</f>
        <v>0</v>
      </c>
      <c r="DD211" s="331">
        <f t="shared" ref="DD211:DD213" si="346">AL211*BF211/100</f>
        <v>0</v>
      </c>
      <c r="DE211" s="331">
        <f t="shared" ref="DE211:DE213" si="347">DD211+BQ211*AW211/100</f>
        <v>0</v>
      </c>
      <c r="DF211" s="331">
        <f t="shared" ref="DF211:DF213" si="348">AM211*BG211/100</f>
        <v>0</v>
      </c>
      <c r="DG211" s="331">
        <f t="shared" ref="DG211:DG213" si="349">AN211*BH211/100</f>
        <v>0</v>
      </c>
      <c r="DH211" s="330">
        <f t="shared" ref="DH211:DH213" si="350">AO211*BI211/100</f>
        <v>0</v>
      </c>
      <c r="DI211" s="330">
        <f t="shared" ref="DI211:DI213" si="351">AP211*BJ211/100</f>
        <v>0</v>
      </c>
      <c r="DJ211" s="330">
        <f t="shared" ref="DJ211:DJ213" si="352">AQ211*BK211/100</f>
        <v>0</v>
      </c>
      <c r="DK211" s="330">
        <f t="shared" ref="DK211:DK213" si="353">AR211*BL211/100</f>
        <v>0</v>
      </c>
      <c r="DL211" s="330">
        <f t="shared" ref="DL211:DL213" si="354">AS211*BM211/100</f>
        <v>0</v>
      </c>
      <c r="DM211" s="330">
        <f t="shared" ref="DM211:DM213" si="355">AT211*BN211/100</f>
        <v>0</v>
      </c>
      <c r="DN211" s="330">
        <f t="shared" ref="DN211:DN213" si="356">AU211*BO211/100</f>
        <v>0</v>
      </c>
      <c r="DO211" s="330">
        <f t="shared" ref="DO211:DO213" si="357">AV211*BP211/100</f>
        <v>0</v>
      </c>
      <c r="DP211" s="330">
        <f t="shared" ref="DP211:DP213" si="358">AW211*BQ211/100</f>
        <v>0</v>
      </c>
      <c r="DQ211" s="330">
        <f t="shared" si="315"/>
        <v>0</v>
      </c>
      <c r="DR211" s="330">
        <f t="shared" si="316"/>
        <v>0</v>
      </c>
      <c r="DS211" s="330">
        <f t="shared" si="317"/>
        <v>0</v>
      </c>
      <c r="DT211" s="330">
        <f t="shared" si="318"/>
        <v>0</v>
      </c>
      <c r="DU211" s="289"/>
      <c r="DV211" s="295"/>
      <c r="DW211" s="311"/>
      <c r="DX211" s="312"/>
      <c r="DY211" s="295"/>
      <c r="DZ211" s="295"/>
      <c r="EA211" s="319"/>
      <c r="EB211" s="314">
        <f t="shared" si="213"/>
        <v>0</v>
      </c>
      <c r="EC211" s="295"/>
      <c r="ED211" s="295"/>
      <c r="EE211" s="295">
        <v>1135000</v>
      </c>
      <c r="EF211" s="295">
        <v>2500</v>
      </c>
      <c r="EG211" s="347"/>
      <c r="EH211" s="295"/>
      <c r="EI211" s="295"/>
      <c r="EJ211" s="295"/>
      <c r="EK211" s="352"/>
      <c r="EL211" s="352"/>
      <c r="EM211" s="352"/>
      <c r="EN211" s="352"/>
      <c r="EO211" s="352"/>
      <c r="EP211" s="352"/>
      <c r="EQ211" s="319"/>
      <c r="ER211" s="295"/>
      <c r="ES211" s="318"/>
      <c r="ET211" s="318"/>
      <c r="EU211" s="318"/>
      <c r="EV211" s="318"/>
      <c r="EW211" s="318"/>
      <c r="EX211" s="318"/>
      <c r="EY211" s="318"/>
      <c r="EZ211" s="318"/>
      <c r="FA211" s="318"/>
      <c r="FB211" s="318"/>
      <c r="FC211" s="318"/>
      <c r="FD211" s="318"/>
      <c r="FE211" s="295"/>
      <c r="FF211" s="295"/>
      <c r="FG211" s="295"/>
      <c r="FH211" s="295"/>
      <c r="FI211" s="295"/>
      <c r="FJ211" s="295"/>
      <c r="FK211" s="295"/>
      <c r="FL211" s="295"/>
      <c r="FM211" s="335" t="e">
        <f t="shared" si="267"/>
        <v>#DIV/0!</v>
      </c>
      <c r="FN211" s="335" t="e">
        <f t="shared" si="268"/>
        <v>#DIV/0!</v>
      </c>
      <c r="FO211" s="338" t="e">
        <f t="shared" si="269"/>
        <v>#DIV/0!</v>
      </c>
      <c r="FP211" s="338" t="e">
        <f t="shared" si="270"/>
        <v>#DIV/0!</v>
      </c>
      <c r="FQ211" s="339" t="e">
        <f t="shared" si="271"/>
        <v>#DIV/0!</v>
      </c>
    </row>
    <row r="212" spans="2:173" ht="14" x14ac:dyDescent="0.15">
      <c r="B212" s="182" t="s">
        <v>457</v>
      </c>
      <c r="C212" s="157"/>
      <c r="D212" s="157">
        <v>3439</v>
      </c>
      <c r="E212" s="157">
        <v>3158</v>
      </c>
      <c r="F212" s="157">
        <v>2387</v>
      </c>
      <c r="G212" s="157"/>
      <c r="H212" s="307">
        <v>88.22</v>
      </c>
      <c r="I212" s="307">
        <v>28.15</v>
      </c>
      <c r="J212" s="307">
        <v>7.28</v>
      </c>
      <c r="K212" s="307">
        <v>7.5</v>
      </c>
      <c r="L212" s="157"/>
      <c r="M212" s="307">
        <v>4.2371129999999999</v>
      </c>
      <c r="N212" s="307"/>
      <c r="O212" s="307">
        <v>0.99662099999999998</v>
      </c>
      <c r="P212" s="307">
        <v>0.956677</v>
      </c>
      <c r="Q212" s="307">
        <v>0.89321700000000004</v>
      </c>
      <c r="R212" s="157"/>
      <c r="S212" s="157"/>
      <c r="T212" s="307">
        <v>6.9381440000000003</v>
      </c>
      <c r="U212" s="307">
        <v>33.50515</v>
      </c>
      <c r="V212" s="307">
        <v>12.1134</v>
      </c>
      <c r="W212" s="307">
        <v>2.6907220000000001</v>
      </c>
      <c r="X212" s="307">
        <v>32.319589999999998</v>
      </c>
      <c r="Y212" s="157"/>
      <c r="Z212" s="157"/>
      <c r="AA212" s="157"/>
      <c r="AB212" s="157"/>
      <c r="AC212" s="157"/>
      <c r="AD212" s="157"/>
      <c r="AE212" s="157"/>
      <c r="AF212" s="309">
        <v>1.196117216117216</v>
      </c>
      <c r="AG212" s="309">
        <v>0.73210622710622697</v>
      </c>
      <c r="AH212" s="309">
        <v>1.0517582417582416</v>
      </c>
      <c r="AI212" s="309">
        <v>3.2274542124542118</v>
      </c>
      <c r="AJ212" s="309">
        <v>0.79397435897435886</v>
      </c>
      <c r="AK212" s="309">
        <v>0.56712454212454211</v>
      </c>
      <c r="AL212" s="309">
        <v>1.3817216117216116</v>
      </c>
      <c r="AM212" s="309">
        <v>1.0208241758241756</v>
      </c>
      <c r="AN212" s="309">
        <v>0.21653846153846151</v>
      </c>
      <c r="AO212" s="309">
        <v>1.392032967032967</v>
      </c>
      <c r="AP212" s="309"/>
      <c r="AQ212" s="309"/>
      <c r="AR212" s="309">
        <v>0.52587912087912081</v>
      </c>
      <c r="AS212" s="309"/>
      <c r="AT212" s="309"/>
      <c r="AU212" s="309"/>
      <c r="AV212" s="309"/>
      <c r="AW212" s="309">
        <v>1.0723809523809522</v>
      </c>
      <c r="AX212" s="157"/>
      <c r="AY212" s="305">
        <v>74</v>
      </c>
      <c r="AZ212" s="305">
        <v>81</v>
      </c>
      <c r="BA212" s="305">
        <v>78</v>
      </c>
      <c r="BB212" s="318">
        <v>76</v>
      </c>
      <c r="BC212" s="318">
        <v>84</v>
      </c>
      <c r="BD212" s="318">
        <v>61</v>
      </c>
      <c r="BE212" s="318">
        <v>82</v>
      </c>
      <c r="BF212" s="318">
        <v>81</v>
      </c>
      <c r="BG212" s="318">
        <v>71</v>
      </c>
      <c r="BH212" s="318">
        <v>71</v>
      </c>
      <c r="BI212" s="318">
        <v>75</v>
      </c>
      <c r="BJ212" s="318"/>
      <c r="BK212" s="318"/>
      <c r="BL212" s="318">
        <v>73</v>
      </c>
      <c r="BM212" s="305"/>
      <c r="BN212" s="305"/>
      <c r="BO212" s="305"/>
      <c r="BP212" s="305"/>
      <c r="BQ212" s="305">
        <v>81</v>
      </c>
      <c r="BR212" s="157"/>
      <c r="BS212" s="303">
        <v>2.4E-2</v>
      </c>
      <c r="BT212" s="303">
        <v>0.19</v>
      </c>
      <c r="BU212" s="303"/>
      <c r="BV212" s="303"/>
      <c r="BW212" s="303">
        <v>0.22</v>
      </c>
      <c r="BX212" s="303">
        <v>0.87</v>
      </c>
      <c r="BY212" s="304"/>
      <c r="BZ212" s="157"/>
      <c r="CA212" s="305"/>
      <c r="CB212" s="306">
        <v>59</v>
      </c>
      <c r="CC212" s="306">
        <v>64</v>
      </c>
      <c r="CD212" s="305"/>
      <c r="CE212" s="305"/>
      <c r="CF212" s="305"/>
      <c r="CG212" s="305"/>
      <c r="CH212" s="307">
        <v>17.510400000000001</v>
      </c>
      <c r="CI212" s="304">
        <v>0.91020000000000001</v>
      </c>
      <c r="CJ212" s="304">
        <v>0.54759999999999998</v>
      </c>
      <c r="CK212" s="304">
        <v>0.7632000000000001</v>
      </c>
      <c r="CL212" s="304">
        <v>2.665</v>
      </c>
      <c r="CM212" s="304">
        <v>0.495</v>
      </c>
      <c r="CN212" s="304">
        <v>0.45599999999999996</v>
      </c>
      <c r="CO212" s="304">
        <v>0.75959999999999994</v>
      </c>
      <c r="CP212" s="304">
        <v>1.0686000000000002</v>
      </c>
      <c r="CQ212" s="304">
        <v>2.0202</v>
      </c>
      <c r="CR212" s="304">
        <v>0.63359999999999994</v>
      </c>
      <c r="CS212" s="304">
        <v>0.126</v>
      </c>
      <c r="CT212" s="304">
        <v>0.9869</v>
      </c>
      <c r="CU212" s="157"/>
      <c r="CV212" s="309">
        <v>20.245999999999999</v>
      </c>
      <c r="CW212" s="331">
        <f t="shared" si="339"/>
        <v>0.96885494505494496</v>
      </c>
      <c r="CX212" s="331">
        <f t="shared" si="340"/>
        <v>0.57104285714285696</v>
      </c>
      <c r="CY212" s="331">
        <f t="shared" si="341"/>
        <v>0.79933626373626365</v>
      </c>
      <c r="CZ212" s="331">
        <f t="shared" si="342"/>
        <v>2.711061538461538</v>
      </c>
      <c r="DA212" s="331">
        <f t="shared" si="343"/>
        <v>0.48432435897435888</v>
      </c>
      <c r="DB212" s="331">
        <f t="shared" si="344"/>
        <v>0.46504212454212451</v>
      </c>
      <c r="DC212" s="331">
        <f t="shared" si="345"/>
        <v>0.84893388278388271</v>
      </c>
      <c r="DD212" s="331">
        <f t="shared" si="346"/>
        <v>1.1191945054945054</v>
      </c>
      <c r="DE212" s="331">
        <f t="shared" si="347"/>
        <v>1.9878230769230765</v>
      </c>
      <c r="DF212" s="331">
        <f t="shared" si="348"/>
        <v>0.72478516483516475</v>
      </c>
      <c r="DG212" s="331">
        <f t="shared" si="349"/>
        <v>0.15374230769230768</v>
      </c>
      <c r="DH212" s="330">
        <f t="shared" si="350"/>
        <v>1.0440247252747252</v>
      </c>
      <c r="DI212" s="330">
        <f t="shared" si="351"/>
        <v>0</v>
      </c>
      <c r="DJ212" s="330">
        <f t="shared" si="352"/>
        <v>0</v>
      </c>
      <c r="DK212" s="330">
        <f t="shared" si="353"/>
        <v>0.38389175824175825</v>
      </c>
      <c r="DL212" s="330">
        <f t="shared" si="354"/>
        <v>0</v>
      </c>
      <c r="DM212" s="330">
        <f t="shared" si="355"/>
        <v>0</v>
      </c>
      <c r="DN212" s="330">
        <f t="shared" si="356"/>
        <v>0</v>
      </c>
      <c r="DO212" s="330">
        <f t="shared" si="357"/>
        <v>0</v>
      </c>
      <c r="DP212" s="330">
        <f t="shared" si="358"/>
        <v>0.86862857142857119</v>
      </c>
      <c r="DQ212" s="330">
        <f t="shared" si="315"/>
        <v>0.51329999999999998</v>
      </c>
      <c r="DR212" s="330">
        <f t="shared" si="316"/>
        <v>0.55679999999999996</v>
      </c>
      <c r="DS212" s="330">
        <f t="shared" si="317"/>
        <v>0</v>
      </c>
      <c r="DT212" s="330">
        <f t="shared" si="318"/>
        <v>0</v>
      </c>
      <c r="DU212" s="289"/>
      <c r="DV212" s="295"/>
      <c r="DW212" s="311"/>
      <c r="DX212" s="312"/>
      <c r="DY212" s="295"/>
      <c r="DZ212" s="295"/>
      <c r="EA212" s="319">
        <v>0.77</v>
      </c>
      <c r="EB212" s="314">
        <f t="shared" si="213"/>
        <v>0.66990000000000005</v>
      </c>
      <c r="EC212" s="295">
        <v>4.4249999999999998</v>
      </c>
      <c r="ED212" s="295"/>
      <c r="EE212" s="295"/>
      <c r="EF212" s="295"/>
      <c r="EG212" s="387">
        <v>0.18</v>
      </c>
      <c r="EH212" s="295"/>
      <c r="EI212" s="295"/>
      <c r="EJ212" s="295"/>
      <c r="EK212" s="352"/>
      <c r="EL212" s="352"/>
      <c r="EM212" s="352"/>
      <c r="EN212" s="352"/>
      <c r="EO212" s="352"/>
      <c r="EP212" s="352"/>
      <c r="EQ212" s="319"/>
      <c r="ER212" s="295"/>
      <c r="ES212" s="318"/>
      <c r="ET212" s="318"/>
      <c r="EU212" s="318"/>
      <c r="EV212" s="318"/>
      <c r="EW212" s="318"/>
      <c r="EX212" s="318"/>
      <c r="EY212" s="318"/>
      <c r="EZ212" s="318"/>
      <c r="FA212" s="318"/>
      <c r="FB212" s="318"/>
      <c r="FC212" s="318"/>
      <c r="FD212" s="318"/>
      <c r="FE212" s="295"/>
      <c r="FF212" s="295"/>
      <c r="FG212" s="295"/>
      <c r="FH212" s="295"/>
      <c r="FI212" s="295"/>
      <c r="FJ212" s="295"/>
      <c r="FK212" s="295"/>
      <c r="FL212" s="295"/>
      <c r="FM212" s="335">
        <f t="shared" si="267"/>
        <v>0.38509812870835242</v>
      </c>
      <c r="FN212" s="335">
        <f t="shared" si="268"/>
        <v>0.29484253765403928</v>
      </c>
      <c r="FO212" s="338">
        <f t="shared" si="269"/>
        <v>1.3061145510835914</v>
      </c>
      <c r="FP212" s="338">
        <f t="shared" si="270"/>
        <v>5.6709265175718858E-2</v>
      </c>
      <c r="FQ212" s="339">
        <f t="shared" si="271"/>
        <v>9.6307692307692289E-2</v>
      </c>
    </row>
    <row r="213" spans="2:173" ht="14" x14ac:dyDescent="0.15">
      <c r="B213" s="182" t="s">
        <v>463</v>
      </c>
      <c r="C213" s="293"/>
      <c r="D213" s="321"/>
      <c r="E213" s="321">
        <v>3490</v>
      </c>
      <c r="F213" s="321">
        <v>2499</v>
      </c>
      <c r="G213" s="289"/>
      <c r="H213" s="322">
        <v>92</v>
      </c>
      <c r="I213" s="323">
        <v>56</v>
      </c>
      <c r="J213" s="324">
        <v>3.5</v>
      </c>
      <c r="K213" s="324">
        <v>2.5</v>
      </c>
      <c r="L213" s="293"/>
      <c r="M213" s="293">
        <v>6.8</v>
      </c>
      <c r="N213" s="293"/>
      <c r="O213" s="293"/>
      <c r="P213" s="293"/>
      <c r="Q213" s="293"/>
      <c r="R213" s="293"/>
      <c r="S213" s="293"/>
      <c r="T213" s="293">
        <v>3.8</v>
      </c>
      <c r="U213" s="293">
        <v>4.7</v>
      </c>
      <c r="V213" s="293">
        <v>3.7</v>
      </c>
      <c r="W213" s="293"/>
      <c r="X213" s="293"/>
      <c r="Y213" s="293"/>
      <c r="Z213" s="293"/>
      <c r="AA213" s="293"/>
      <c r="AB213" s="293"/>
      <c r="AC213" s="293"/>
      <c r="AD213" s="293"/>
      <c r="AE213" s="293"/>
      <c r="AF213" s="325">
        <v>3.89</v>
      </c>
      <c r="AG213" s="325">
        <v>1.44</v>
      </c>
      <c r="AH213" s="290">
        <v>2.73</v>
      </c>
      <c r="AI213" s="290">
        <v>4.3</v>
      </c>
      <c r="AJ213" s="290">
        <v>3.43</v>
      </c>
      <c r="AK213" s="290">
        <v>0.76</v>
      </c>
      <c r="AL213" s="290">
        <v>2.9</v>
      </c>
      <c r="AM213" s="290">
        <v>2.14</v>
      </c>
      <c r="AN213" s="290">
        <v>0.77</v>
      </c>
      <c r="AO213" s="290">
        <v>2.81</v>
      </c>
      <c r="AP213" s="290">
        <v>2.4</v>
      </c>
      <c r="AQ213" s="290">
        <v>6.1</v>
      </c>
      <c r="AR213" s="290">
        <v>0.8</v>
      </c>
      <c r="AS213" s="290">
        <v>9.73</v>
      </c>
      <c r="AT213" s="290">
        <v>2.33</v>
      </c>
      <c r="AU213" s="290">
        <v>2.78</v>
      </c>
      <c r="AV213" s="290">
        <v>2.3199999999999998</v>
      </c>
      <c r="AW213" s="290">
        <v>2.0099999999999998</v>
      </c>
      <c r="AX213" s="289"/>
      <c r="AY213" s="287"/>
      <c r="AZ213" s="326">
        <v>94</v>
      </c>
      <c r="BA213" s="326">
        <v>92</v>
      </c>
      <c r="BB213" s="287">
        <v>91</v>
      </c>
      <c r="BC213" s="287">
        <v>92</v>
      </c>
      <c r="BD213" s="287">
        <v>90</v>
      </c>
      <c r="BE213" s="288">
        <v>92</v>
      </c>
      <c r="BF213" s="287">
        <v>91</v>
      </c>
      <c r="BG213" s="287">
        <v>87</v>
      </c>
      <c r="BH213" s="287">
        <v>90</v>
      </c>
      <c r="BI213" s="287">
        <v>91</v>
      </c>
      <c r="BJ213" s="287">
        <v>89</v>
      </c>
      <c r="BK213" s="287">
        <v>90</v>
      </c>
      <c r="BL213" s="288">
        <v>81</v>
      </c>
      <c r="BM213" s="288">
        <v>90</v>
      </c>
      <c r="BN213" s="288">
        <v>89</v>
      </c>
      <c r="BO213" s="288">
        <v>90</v>
      </c>
      <c r="BP213" s="288">
        <v>92</v>
      </c>
      <c r="BQ213" s="288">
        <v>92</v>
      </c>
      <c r="BR213" s="289"/>
      <c r="BS213" s="290">
        <v>0.25</v>
      </c>
      <c r="BT213" s="291">
        <v>0.06</v>
      </c>
      <c r="BU213" s="291">
        <v>2.4</v>
      </c>
      <c r="BV213" s="291">
        <v>0.31</v>
      </c>
      <c r="BW213" s="291">
        <v>0.04</v>
      </c>
      <c r="BX213" s="290">
        <v>0.8</v>
      </c>
      <c r="BY213" s="325"/>
      <c r="BZ213" s="293"/>
      <c r="CA213" s="327"/>
      <c r="CB213" s="328">
        <v>50</v>
      </c>
      <c r="CC213" s="328">
        <v>50</v>
      </c>
      <c r="CD213" s="327"/>
      <c r="CE213" s="327"/>
      <c r="CF213" s="327"/>
      <c r="CG213" s="327"/>
      <c r="CH213" s="329">
        <v>56</v>
      </c>
      <c r="CI213" s="325"/>
      <c r="CJ213" s="325"/>
      <c r="CK213" s="325"/>
      <c r="CL213" s="325"/>
      <c r="CM213" s="325"/>
      <c r="CN213" s="325"/>
      <c r="CO213" s="325"/>
      <c r="CP213" s="325"/>
      <c r="CQ213" s="325"/>
      <c r="CR213" s="325"/>
      <c r="CS213" s="325"/>
      <c r="CT213" s="325"/>
      <c r="CU213" s="293"/>
      <c r="CV213" s="330"/>
      <c r="CW213" s="331">
        <f t="shared" si="339"/>
        <v>3.6566000000000001</v>
      </c>
      <c r="CX213" s="331">
        <f t="shared" si="340"/>
        <v>1.3248</v>
      </c>
      <c r="CY213" s="331">
        <f t="shared" si="341"/>
        <v>2.4843000000000002</v>
      </c>
      <c r="CZ213" s="331">
        <f t="shared" si="342"/>
        <v>3.9559999999999995</v>
      </c>
      <c r="DA213" s="331">
        <f t="shared" si="343"/>
        <v>3.0869999999999997</v>
      </c>
      <c r="DB213" s="331">
        <f t="shared" si="344"/>
        <v>0.69920000000000004</v>
      </c>
      <c r="DC213" s="331">
        <f t="shared" si="345"/>
        <v>1.3472</v>
      </c>
      <c r="DD213" s="331">
        <f t="shared" si="346"/>
        <v>2.6389999999999998</v>
      </c>
      <c r="DE213" s="331">
        <f t="shared" si="347"/>
        <v>4.4882</v>
      </c>
      <c r="DF213" s="331">
        <f t="shared" si="348"/>
        <v>1.8618000000000001</v>
      </c>
      <c r="DG213" s="331">
        <f t="shared" si="349"/>
        <v>0.69299999999999995</v>
      </c>
      <c r="DH213" s="330">
        <f t="shared" si="350"/>
        <v>2.5571000000000002</v>
      </c>
      <c r="DI213" s="330">
        <f t="shared" si="351"/>
        <v>2.1360000000000001</v>
      </c>
      <c r="DJ213" s="330">
        <f t="shared" si="352"/>
        <v>5.49</v>
      </c>
      <c r="DK213" s="330">
        <f t="shared" si="353"/>
        <v>0.64800000000000002</v>
      </c>
      <c r="DL213" s="330">
        <f t="shared" si="354"/>
        <v>8.7569999999999997</v>
      </c>
      <c r="DM213" s="330">
        <f t="shared" si="355"/>
        <v>2.0737000000000001</v>
      </c>
      <c r="DN213" s="330">
        <f t="shared" si="356"/>
        <v>2.5019999999999998</v>
      </c>
      <c r="DO213" s="330">
        <f t="shared" si="357"/>
        <v>2.1343999999999999</v>
      </c>
      <c r="DP213" s="330">
        <f t="shared" si="358"/>
        <v>1.8492</v>
      </c>
      <c r="DQ213" s="363">
        <f t="shared" si="315"/>
        <v>0.4</v>
      </c>
      <c r="DR213" s="330">
        <f t="shared" si="316"/>
        <v>0.4</v>
      </c>
      <c r="DS213" s="363">
        <f t="shared" si="317"/>
        <v>0</v>
      </c>
      <c r="DT213" s="330">
        <f t="shared" si="318"/>
        <v>0</v>
      </c>
      <c r="DU213" s="289"/>
      <c r="DV213" s="332"/>
      <c r="DW213" s="311">
        <v>1000</v>
      </c>
      <c r="DX213" s="312">
        <v>0.5</v>
      </c>
      <c r="DY213" s="321"/>
      <c r="DZ213" s="321"/>
      <c r="EA213" s="333">
        <v>0.4</v>
      </c>
      <c r="EB213" s="314">
        <f t="shared" si="213"/>
        <v>0.32000000000000006</v>
      </c>
      <c r="EC213" s="334"/>
      <c r="ED213" s="334"/>
      <c r="EE213" s="334"/>
      <c r="EF213" s="334"/>
      <c r="EG213" s="388">
        <f>BX213*0.662</f>
        <v>0.52960000000000007</v>
      </c>
      <c r="EH213" s="334"/>
      <c r="EI213" s="336">
        <v>0.74</v>
      </c>
      <c r="EJ213" s="334"/>
      <c r="EK213" s="334"/>
      <c r="EL213" s="334"/>
      <c r="EM213" s="334"/>
      <c r="EN213" s="334"/>
      <c r="EO213" s="334"/>
      <c r="EP213" s="334"/>
      <c r="EQ213" s="334"/>
      <c r="ER213" s="334"/>
      <c r="ES213" s="337"/>
      <c r="ET213" s="337"/>
      <c r="EU213" s="337"/>
      <c r="EV213" s="337"/>
      <c r="EW213" s="337"/>
      <c r="EX213" s="337"/>
      <c r="EY213" s="337"/>
      <c r="EZ213" s="337"/>
      <c r="FA213" s="337"/>
      <c r="FB213" s="337"/>
      <c r="FC213" s="337"/>
      <c r="FD213" s="337"/>
      <c r="FE213" s="334"/>
      <c r="FF213" s="334"/>
      <c r="FG213" s="334"/>
      <c r="FH213" s="334"/>
      <c r="FI213" s="334"/>
      <c r="FJ213" s="334"/>
      <c r="FK213" s="334"/>
      <c r="FL213" s="334"/>
      <c r="FM213" s="335">
        <f t="shared" si="267"/>
        <v>0.64638523761375133</v>
      </c>
      <c r="FN213" s="335">
        <f t="shared" si="268"/>
        <v>0.62798281092012143</v>
      </c>
      <c r="FO213" s="338">
        <f t="shared" si="269"/>
        <v>1.0293040293040292</v>
      </c>
      <c r="FP213" s="338">
        <f t="shared" si="270"/>
        <v>0.17517694641051568</v>
      </c>
      <c r="FQ213" s="339">
        <f t="shared" si="271"/>
        <v>7.0642857142857132E-2</v>
      </c>
    </row>
    <row r="214" spans="2:173" s="113" customFormat="1" ht="28" x14ac:dyDescent="0.15">
      <c r="B214" s="182" t="s">
        <v>465</v>
      </c>
      <c r="C214" s="113">
        <v>4849</v>
      </c>
      <c r="D214" s="376">
        <v>3334.6524799999997</v>
      </c>
      <c r="E214" s="377">
        <v>3088.6446000000001</v>
      </c>
      <c r="F214" s="377">
        <v>2162.7126000000003</v>
      </c>
      <c r="H214" s="322">
        <v>89.14</v>
      </c>
      <c r="I214" s="113">
        <v>28.14</v>
      </c>
      <c r="J214" s="113">
        <v>7.69</v>
      </c>
      <c r="K214" s="113">
        <v>6</v>
      </c>
      <c r="M214" s="113">
        <v>4.6500000000000004</v>
      </c>
      <c r="U214" s="113">
        <v>26.96</v>
      </c>
      <c r="V214" s="113">
        <v>10.54</v>
      </c>
      <c r="W214" s="113">
        <v>3.17</v>
      </c>
      <c r="AF214" s="331">
        <v>1.23</v>
      </c>
      <c r="AG214" s="331">
        <v>0.77</v>
      </c>
      <c r="AH214" s="331">
        <v>1.01</v>
      </c>
      <c r="AI214" s="331">
        <v>3.15</v>
      </c>
      <c r="AJ214" s="331">
        <v>0.96</v>
      </c>
      <c r="AK214" s="331">
        <v>0.56999999999999995</v>
      </c>
      <c r="AL214" s="331">
        <v>1.34</v>
      </c>
      <c r="AM214" s="331">
        <v>1.06</v>
      </c>
      <c r="AN214" s="331">
        <v>0.22</v>
      </c>
      <c r="AO214" s="331">
        <v>1.38</v>
      </c>
      <c r="AP214" s="331">
        <v>1.96</v>
      </c>
      <c r="AQ214" s="331">
        <v>1.9</v>
      </c>
      <c r="AR214" s="331">
        <v>0.56000000000000005</v>
      </c>
      <c r="AY214" s="364">
        <v>74</v>
      </c>
      <c r="AZ214" s="327">
        <v>81</v>
      </c>
      <c r="BA214" s="327">
        <v>78</v>
      </c>
      <c r="BB214" s="337">
        <v>76</v>
      </c>
      <c r="BC214" s="337">
        <v>84</v>
      </c>
      <c r="BD214" s="337">
        <v>61</v>
      </c>
      <c r="BE214" s="337">
        <v>82</v>
      </c>
      <c r="BF214" s="337">
        <v>81</v>
      </c>
      <c r="BG214" s="337">
        <v>71</v>
      </c>
      <c r="BH214" s="337">
        <v>71</v>
      </c>
      <c r="BI214" s="337">
        <v>75</v>
      </c>
      <c r="BJ214" s="337">
        <v>79</v>
      </c>
      <c r="BK214" s="337">
        <v>69</v>
      </c>
      <c r="BL214" s="337">
        <v>73</v>
      </c>
      <c r="BM214" s="337">
        <v>81</v>
      </c>
      <c r="BN214" s="337">
        <v>64</v>
      </c>
      <c r="BO214" s="337">
        <v>74</v>
      </c>
      <c r="BP214" s="337">
        <v>77</v>
      </c>
      <c r="BQ214" s="327">
        <v>81</v>
      </c>
      <c r="BS214" s="365">
        <v>0.04</v>
      </c>
      <c r="BT214" s="365"/>
      <c r="BU214" s="365">
        <v>1.17</v>
      </c>
      <c r="BV214" s="365">
        <v>0.35</v>
      </c>
      <c r="BW214" s="365">
        <v>0.2</v>
      </c>
      <c r="BX214" s="365">
        <v>0.89</v>
      </c>
      <c r="BY214" s="366">
        <v>0.71</v>
      </c>
      <c r="CA214" s="366">
        <v>0.26</v>
      </c>
      <c r="CB214" s="366">
        <v>60</v>
      </c>
      <c r="CC214" s="328">
        <v>65</v>
      </c>
      <c r="CD214" s="366">
        <v>50</v>
      </c>
      <c r="CE214" s="366">
        <v>60</v>
      </c>
      <c r="CF214" s="366">
        <v>28.497</v>
      </c>
      <c r="CH214" s="195"/>
      <c r="CV214" s="186"/>
      <c r="CW214" s="331">
        <f t="shared" ref="CW214:CW217" si="359">AF214*AZ214/100</f>
        <v>0.99629999999999996</v>
      </c>
      <c r="CX214" s="331">
        <f t="shared" ref="CX214:CX217" si="360">AG214*BA214/100</f>
        <v>0.60060000000000002</v>
      </c>
      <c r="CY214" s="331">
        <f t="shared" ref="CY214:CY217" si="361">AH214*BB214/100</f>
        <v>0.76760000000000006</v>
      </c>
      <c r="CZ214" s="331">
        <f t="shared" ref="CZ214:CZ217" si="362">AI214*BC214/100</f>
        <v>2.6459999999999995</v>
      </c>
      <c r="DA214" s="331">
        <f t="shared" ref="DA214:DA217" si="363">AJ214*BD214/100</f>
        <v>0.5855999999999999</v>
      </c>
      <c r="DB214" s="331">
        <f t="shared" ref="DB214:DB217" si="364">AK214*BE214/100</f>
        <v>0.46739999999999993</v>
      </c>
      <c r="DC214" s="331">
        <f t="shared" ref="DC214:DC217" si="365">(AK214*BE214+BL214*AR214)/100</f>
        <v>0.87620000000000009</v>
      </c>
      <c r="DD214" s="331">
        <f t="shared" ref="DD214:DD217" si="366">AL214*BF214/100</f>
        <v>1.0854000000000001</v>
      </c>
      <c r="DE214" s="331">
        <f t="shared" ref="DE214:DE217" si="367">DD214+BQ214*AW214/100</f>
        <v>1.0854000000000001</v>
      </c>
      <c r="DF214" s="331">
        <f t="shared" ref="DF214:DF217" si="368">AM214*BG214/100</f>
        <v>0.75260000000000005</v>
      </c>
      <c r="DG214" s="331">
        <f t="shared" ref="DG214:DG217" si="369">AN214*BH214/100</f>
        <v>0.15620000000000001</v>
      </c>
      <c r="DH214" s="330">
        <f t="shared" ref="DH214:DH217" si="370">AO214*BI214/100</f>
        <v>1.0349999999999999</v>
      </c>
      <c r="DI214" s="330">
        <f t="shared" ref="DI214:DI217" si="371">AP214*BJ214/100</f>
        <v>1.5484</v>
      </c>
      <c r="DJ214" s="330">
        <f t="shared" ref="DJ214:DJ217" si="372">AQ214*BK214/100</f>
        <v>1.3109999999999999</v>
      </c>
      <c r="DK214" s="330">
        <f t="shared" ref="DK214:DK217" si="373">AR214*BL214/100</f>
        <v>0.40880000000000005</v>
      </c>
      <c r="DL214" s="330">
        <f t="shared" ref="DL214:DL217" si="374">AS214*BM214/100</f>
        <v>0</v>
      </c>
      <c r="DM214" s="330">
        <f t="shared" ref="DM214:DM217" si="375">AT214*BN214/100</f>
        <v>0</v>
      </c>
      <c r="DN214" s="330">
        <f t="shared" ref="DN214:DN217" si="376">AU214*BO214/100</f>
        <v>0</v>
      </c>
      <c r="DO214" s="330">
        <f t="shared" ref="DO214:DO217" si="377">AV214*BP214/100</f>
        <v>0</v>
      </c>
      <c r="DP214" s="330">
        <f t="shared" ref="DP214:DP217" si="378">AW214*BQ214/100</f>
        <v>0</v>
      </c>
      <c r="DQ214" s="363">
        <f t="shared" si="315"/>
        <v>0.53400000000000003</v>
      </c>
      <c r="DR214" s="363">
        <f t="shared" si="316"/>
        <v>0.57850000000000001</v>
      </c>
      <c r="DS214" s="363">
        <f t="shared" si="317"/>
        <v>0.02</v>
      </c>
      <c r="DT214" s="363">
        <f t="shared" si="318"/>
        <v>2.4E-2</v>
      </c>
      <c r="DU214" s="24"/>
      <c r="DV214" s="24"/>
      <c r="DW214" s="311">
        <v>150</v>
      </c>
      <c r="DX214" s="312">
        <v>7.4999999999999997E-2</v>
      </c>
      <c r="DY214" s="24"/>
      <c r="DZ214" s="24"/>
      <c r="EA214" s="338">
        <v>0.74</v>
      </c>
      <c r="EB214" s="367">
        <f t="shared" si="213"/>
        <v>0.65859999999999996</v>
      </c>
      <c r="EC214" s="24">
        <v>3.5577000000000001</v>
      </c>
      <c r="ED214" s="24"/>
      <c r="EE214" s="24"/>
      <c r="EF214" s="24"/>
      <c r="EG214" s="117">
        <v>0.18</v>
      </c>
      <c r="EH214" s="24">
        <v>75</v>
      </c>
      <c r="EI214" s="24">
        <v>46.72</v>
      </c>
      <c r="EJ214" s="24"/>
      <c r="EK214" s="368"/>
      <c r="EL214" s="368"/>
      <c r="EM214" s="368"/>
      <c r="EN214" s="368"/>
      <c r="EO214" s="368"/>
      <c r="EP214" s="368"/>
      <c r="EQ214" s="369"/>
      <c r="ER214" s="24"/>
      <c r="ES214" s="370"/>
      <c r="ET214" s="370"/>
      <c r="EU214" s="370"/>
      <c r="EV214" s="370"/>
      <c r="EW214" s="370"/>
      <c r="EX214" s="370"/>
      <c r="EY214" s="370"/>
      <c r="EZ214" s="370"/>
      <c r="FA214" s="370"/>
      <c r="FB214" s="370"/>
      <c r="FC214" s="370"/>
      <c r="FD214" s="370"/>
      <c r="FE214" s="24"/>
      <c r="FF214" s="24"/>
      <c r="FG214" s="380">
        <v>4.1500000000000002E-2</v>
      </c>
      <c r="FH214" s="379">
        <v>0.88500000000000001</v>
      </c>
      <c r="FI214" s="24">
        <v>56.21</v>
      </c>
      <c r="FJ214" s="24">
        <v>1.22</v>
      </c>
      <c r="FK214" s="24">
        <v>3.46</v>
      </c>
      <c r="FL214" s="24"/>
      <c r="FM214" s="335">
        <f t="shared" si="267"/>
        <v>0.39115646258503406</v>
      </c>
      <c r="FN214" s="335">
        <f t="shared" si="268"/>
        <v>0.29009826152683305</v>
      </c>
      <c r="FO214" s="338">
        <f t="shared" si="269"/>
        <v>1.3483585200625323</v>
      </c>
      <c r="FP214" s="338">
        <f t="shared" si="270"/>
        <v>5.9032501889644762E-2</v>
      </c>
      <c r="FQ214" s="339">
        <f t="shared" si="271"/>
        <v>9.4029850746268642E-2</v>
      </c>
    </row>
    <row r="215" spans="2:173" ht="14" x14ac:dyDescent="0.15">
      <c r="B215" s="182" t="s">
        <v>466</v>
      </c>
      <c r="C215">
        <v>4849</v>
      </c>
      <c r="D215">
        <v>3439</v>
      </c>
      <c r="E215" s="157">
        <v>3243</v>
      </c>
      <c r="F215" s="157">
        <v>2387</v>
      </c>
      <c r="H215" s="322">
        <v>87</v>
      </c>
      <c r="I215">
        <v>28.93</v>
      </c>
      <c r="J215">
        <v>7.28</v>
      </c>
      <c r="K215">
        <v>7.5</v>
      </c>
      <c r="M215" s="307">
        <v>4.24</v>
      </c>
      <c r="O215">
        <v>0.997</v>
      </c>
      <c r="P215">
        <v>0.95499999999999996</v>
      </c>
      <c r="Q215">
        <v>0.89300000000000002</v>
      </c>
      <c r="T215">
        <v>6.94</v>
      </c>
      <c r="U215" s="293">
        <v>33.5</v>
      </c>
      <c r="V215" s="293">
        <v>12.1</v>
      </c>
      <c r="W215">
        <v>2.69</v>
      </c>
      <c r="X215">
        <v>32.32</v>
      </c>
      <c r="AB215">
        <v>40.71</v>
      </c>
      <c r="AC215">
        <v>70</v>
      </c>
      <c r="AD215">
        <v>43.7</v>
      </c>
      <c r="AF215" s="331">
        <v>1.34</v>
      </c>
      <c r="AG215" s="331">
        <v>0.82</v>
      </c>
      <c r="AH215" s="331">
        <v>1.1499999999999999</v>
      </c>
      <c r="AI215" s="331">
        <v>3.07</v>
      </c>
      <c r="AJ215" s="331">
        <v>1.1399999999999999</v>
      </c>
      <c r="AK215" s="331">
        <v>0.5</v>
      </c>
      <c r="AL215" s="331">
        <v>1.3</v>
      </c>
      <c r="AM215" s="331">
        <v>1.1000000000000001</v>
      </c>
      <c r="AN215" s="331">
        <v>0.27</v>
      </c>
      <c r="AO215" s="331">
        <v>1.48</v>
      </c>
      <c r="AP215" s="331">
        <v>1.84</v>
      </c>
      <c r="AQ215" s="331">
        <v>1.79</v>
      </c>
      <c r="AR215" s="331">
        <v>0.59</v>
      </c>
      <c r="AS215" s="331">
        <v>3.37</v>
      </c>
      <c r="AT215" s="331">
        <v>1.24</v>
      </c>
      <c r="AU215" s="331">
        <v>2.15</v>
      </c>
      <c r="AV215" s="331">
        <v>1.2</v>
      </c>
      <c r="AW215" s="309">
        <v>0.97</v>
      </c>
      <c r="AY215" s="309">
        <v>74</v>
      </c>
      <c r="AZ215" s="327">
        <v>81</v>
      </c>
      <c r="BA215" s="327">
        <v>78</v>
      </c>
      <c r="BB215" s="337">
        <v>76</v>
      </c>
      <c r="BC215" s="337">
        <v>84</v>
      </c>
      <c r="BD215" s="337">
        <v>61</v>
      </c>
      <c r="BE215" s="337">
        <v>82</v>
      </c>
      <c r="BF215" s="337">
        <v>81</v>
      </c>
      <c r="BG215" s="337">
        <v>71</v>
      </c>
      <c r="BH215" s="337">
        <v>71</v>
      </c>
      <c r="BI215" s="337">
        <v>75</v>
      </c>
      <c r="BJ215" s="337">
        <v>79</v>
      </c>
      <c r="BK215" s="337">
        <v>69</v>
      </c>
      <c r="BL215" s="337">
        <v>73</v>
      </c>
      <c r="BM215" s="337">
        <v>81</v>
      </c>
      <c r="BN215" s="337">
        <v>64</v>
      </c>
      <c r="BO215" s="337">
        <v>74</v>
      </c>
      <c r="BP215" s="337">
        <v>77</v>
      </c>
      <c r="BQ215" s="327">
        <v>81</v>
      </c>
      <c r="BS215" s="265">
        <v>0.12</v>
      </c>
      <c r="BT215" s="265"/>
      <c r="BU215" s="265">
        <v>0.9</v>
      </c>
      <c r="BV215" s="265">
        <v>0.28999999999999998</v>
      </c>
      <c r="BW215" s="265">
        <v>0.22</v>
      </c>
      <c r="BX215" s="265">
        <v>0.73</v>
      </c>
      <c r="BY215" s="264">
        <v>0.66</v>
      </c>
      <c r="CA215" s="264">
        <v>0.26</v>
      </c>
      <c r="CB215" s="328">
        <v>60</v>
      </c>
      <c r="CC215" s="328">
        <v>65</v>
      </c>
      <c r="CD215">
        <v>50</v>
      </c>
      <c r="CE215">
        <v>60</v>
      </c>
      <c r="CF215">
        <v>28.5</v>
      </c>
      <c r="CH215" s="136">
        <v>17.491</v>
      </c>
      <c r="CI215">
        <v>0.85799999999999998</v>
      </c>
      <c r="CJ215">
        <v>0.52500000000000002</v>
      </c>
      <c r="CK215">
        <v>0.73399999999999999</v>
      </c>
      <c r="CL215">
        <v>2.5670000000000002</v>
      </c>
      <c r="CM215">
        <v>0.42399999999999999</v>
      </c>
      <c r="CN215">
        <v>0.44</v>
      </c>
      <c r="CO215">
        <v>0.79200000000000004</v>
      </c>
      <c r="CP215">
        <v>1.0449999999999999</v>
      </c>
      <c r="CQ215">
        <v>1.8560000000000001</v>
      </c>
      <c r="CR215">
        <v>0.63400000000000001</v>
      </c>
      <c r="CS215">
        <v>0.13200000000000001</v>
      </c>
      <c r="CT215">
        <v>0.95899999999999996</v>
      </c>
      <c r="CV215" s="4">
        <v>20.224</v>
      </c>
      <c r="CW215" s="331">
        <f t="shared" si="359"/>
        <v>1.0854000000000001</v>
      </c>
      <c r="CX215" s="331">
        <f t="shared" si="360"/>
        <v>0.63959999999999995</v>
      </c>
      <c r="CY215" s="331">
        <f t="shared" si="361"/>
        <v>0.87399999999999989</v>
      </c>
      <c r="CZ215" s="331">
        <f t="shared" si="362"/>
        <v>2.5787999999999998</v>
      </c>
      <c r="DA215" s="331">
        <f t="shared" si="363"/>
        <v>0.69539999999999991</v>
      </c>
      <c r="DB215" s="331">
        <f t="shared" si="364"/>
        <v>0.41</v>
      </c>
      <c r="DC215" s="331">
        <f t="shared" si="365"/>
        <v>0.84069999999999989</v>
      </c>
      <c r="DD215" s="331">
        <f t="shared" si="366"/>
        <v>1.0529999999999999</v>
      </c>
      <c r="DE215" s="331">
        <f t="shared" si="367"/>
        <v>1.8386999999999998</v>
      </c>
      <c r="DF215" s="331">
        <f t="shared" si="368"/>
        <v>0.78100000000000014</v>
      </c>
      <c r="DG215" s="331">
        <f t="shared" si="369"/>
        <v>0.19170000000000001</v>
      </c>
      <c r="DH215" s="330">
        <f t="shared" si="370"/>
        <v>1.1100000000000001</v>
      </c>
      <c r="DI215" s="330">
        <f t="shared" si="371"/>
        <v>1.4536000000000002</v>
      </c>
      <c r="DJ215" s="330">
        <f t="shared" si="372"/>
        <v>1.2351000000000001</v>
      </c>
      <c r="DK215" s="330">
        <f t="shared" si="373"/>
        <v>0.43070000000000003</v>
      </c>
      <c r="DL215" s="330">
        <f t="shared" si="374"/>
        <v>2.7297000000000002</v>
      </c>
      <c r="DM215" s="330">
        <f t="shared" si="375"/>
        <v>0.79359999999999997</v>
      </c>
      <c r="DN215" s="330">
        <f t="shared" si="376"/>
        <v>1.591</v>
      </c>
      <c r="DO215" s="330">
        <f t="shared" si="377"/>
        <v>0.92399999999999993</v>
      </c>
      <c r="DP215" s="330">
        <f t="shared" si="378"/>
        <v>0.78569999999999995</v>
      </c>
      <c r="DQ215" s="363">
        <f t="shared" si="315"/>
        <v>0.43799999999999994</v>
      </c>
      <c r="DR215" s="378">
        <f t="shared" si="316"/>
        <v>0.47449999999999998</v>
      </c>
      <c r="DS215" s="363">
        <f t="shared" si="317"/>
        <v>0.06</v>
      </c>
      <c r="DT215" s="363">
        <f t="shared" si="318"/>
        <v>7.1999999999999995E-2</v>
      </c>
      <c r="DW215" s="311">
        <v>200</v>
      </c>
      <c r="DX215" s="312">
        <v>0.1</v>
      </c>
      <c r="EA215" s="338">
        <v>0.77</v>
      </c>
      <c r="EB215" s="314">
        <f t="shared" si="213"/>
        <v>0.56210000000000004</v>
      </c>
      <c r="EG215" s="116">
        <v>0.18</v>
      </c>
      <c r="EH215" s="1">
        <v>93.75</v>
      </c>
      <c r="EI215" s="24">
        <v>43.07</v>
      </c>
      <c r="EK215" s="286"/>
      <c r="EL215" s="286"/>
      <c r="EM215" s="286"/>
      <c r="EN215" s="286"/>
      <c r="EO215" s="286"/>
      <c r="EP215" s="286"/>
      <c r="EQ215" s="243"/>
      <c r="FG215" s="243">
        <v>4.2000000000000003E-2</v>
      </c>
      <c r="FH215" s="379">
        <v>0.88500000000000001</v>
      </c>
      <c r="FI215" s="1">
        <v>56.21</v>
      </c>
      <c r="FJ215" s="24">
        <v>1.22</v>
      </c>
      <c r="FK215" s="24">
        <v>4.3099999999999996</v>
      </c>
      <c r="FM215" s="335">
        <f t="shared" si="267"/>
        <v>0.43043275942298753</v>
      </c>
      <c r="FN215" s="335">
        <f t="shared" si="268"/>
        <v>0.33891732588800993</v>
      </c>
      <c r="FO215" s="338">
        <f t="shared" si="269"/>
        <v>1.2700228832951947</v>
      </c>
      <c r="FP215" s="338">
        <f t="shared" si="270"/>
        <v>7.4336900884132168E-2</v>
      </c>
      <c r="FQ215" s="339">
        <f t="shared" si="271"/>
        <v>8.9139301762875905E-2</v>
      </c>
    </row>
    <row r="216" spans="2:173" ht="14" x14ac:dyDescent="0.15">
      <c r="B216" s="182" t="s">
        <v>467</v>
      </c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S216" s="265"/>
      <c r="BT216" s="265"/>
      <c r="BU216" s="265"/>
      <c r="BV216" s="265"/>
      <c r="BW216" s="265"/>
      <c r="BX216" s="265"/>
      <c r="BY216" s="264"/>
      <c r="CH216" s="136"/>
      <c r="CV216" s="4"/>
      <c r="CW216" s="331">
        <f t="shared" si="359"/>
        <v>0</v>
      </c>
      <c r="CX216" s="331">
        <f t="shared" si="360"/>
        <v>0</v>
      </c>
      <c r="CY216" s="331">
        <f t="shared" si="361"/>
        <v>0</v>
      </c>
      <c r="CZ216" s="331">
        <f t="shared" si="362"/>
        <v>0</v>
      </c>
      <c r="DA216" s="331">
        <f t="shared" si="363"/>
        <v>0</v>
      </c>
      <c r="DB216" s="331">
        <f t="shared" si="364"/>
        <v>0</v>
      </c>
      <c r="DC216" s="331">
        <f t="shared" si="365"/>
        <v>0</v>
      </c>
      <c r="DD216" s="331">
        <f t="shared" si="366"/>
        <v>0</v>
      </c>
      <c r="DE216" s="331">
        <f t="shared" si="367"/>
        <v>0</v>
      </c>
      <c r="DF216" s="331">
        <f t="shared" si="368"/>
        <v>0</v>
      </c>
      <c r="DG216" s="331">
        <f t="shared" si="369"/>
        <v>0</v>
      </c>
      <c r="DH216" s="330">
        <f t="shared" si="370"/>
        <v>0</v>
      </c>
      <c r="DI216" s="330">
        <f t="shared" si="371"/>
        <v>0</v>
      </c>
      <c r="DJ216" s="330">
        <f t="shared" si="372"/>
        <v>0</v>
      </c>
      <c r="DK216" s="330">
        <f t="shared" si="373"/>
        <v>0</v>
      </c>
      <c r="DL216" s="330">
        <f t="shared" si="374"/>
        <v>0</v>
      </c>
      <c r="DM216" s="330">
        <f t="shared" si="375"/>
        <v>0</v>
      </c>
      <c r="DN216" s="330">
        <f t="shared" si="376"/>
        <v>0</v>
      </c>
      <c r="DO216" s="330">
        <f t="shared" si="377"/>
        <v>0</v>
      </c>
      <c r="DP216" s="330">
        <f t="shared" si="378"/>
        <v>0</v>
      </c>
      <c r="EE216" s="1">
        <v>1135000</v>
      </c>
      <c r="EF216" s="1">
        <v>2500</v>
      </c>
      <c r="EK216" s="286"/>
      <c r="EL216" s="286"/>
      <c r="EM216" s="286"/>
      <c r="EN216" s="286"/>
      <c r="EO216" s="286"/>
      <c r="EP216" s="286"/>
      <c r="EQ216" s="243"/>
      <c r="FM216" s="335" t="e">
        <f t="shared" si="267"/>
        <v>#DIV/0!</v>
      </c>
      <c r="FN216" s="335" t="e">
        <f t="shared" si="268"/>
        <v>#DIV/0!</v>
      </c>
      <c r="FO216" s="338" t="e">
        <f t="shared" si="269"/>
        <v>#DIV/0!</v>
      </c>
      <c r="FP216" s="338" t="e">
        <f t="shared" si="270"/>
        <v>#DIV/0!</v>
      </c>
      <c r="FQ216" s="339" t="e">
        <f t="shared" si="271"/>
        <v>#DIV/0!</v>
      </c>
    </row>
    <row r="217" spans="2:173" ht="14" x14ac:dyDescent="0.15">
      <c r="B217" s="182" t="s">
        <v>468</v>
      </c>
      <c r="E217">
        <v>3490</v>
      </c>
      <c r="F217">
        <v>2499</v>
      </c>
      <c r="H217">
        <v>92</v>
      </c>
      <c r="I217">
        <v>56</v>
      </c>
      <c r="J217">
        <v>3.5</v>
      </c>
      <c r="K217">
        <v>2.5</v>
      </c>
      <c r="M217">
        <v>6.8</v>
      </c>
      <c r="T217">
        <v>3.8</v>
      </c>
      <c r="U217">
        <v>4.7</v>
      </c>
      <c r="V217">
        <v>3.7</v>
      </c>
      <c r="AF217">
        <v>3.89</v>
      </c>
      <c r="AG217">
        <v>1.44</v>
      </c>
      <c r="AH217">
        <v>2.73</v>
      </c>
      <c r="AI217">
        <v>4.3</v>
      </c>
      <c r="AJ217">
        <v>3.43</v>
      </c>
      <c r="AK217">
        <v>0.76</v>
      </c>
      <c r="AL217">
        <v>2.9</v>
      </c>
      <c r="AM217">
        <v>2.14</v>
      </c>
      <c r="AN217">
        <v>0.77</v>
      </c>
      <c r="AO217">
        <v>2.81</v>
      </c>
      <c r="AP217">
        <v>2.4</v>
      </c>
      <c r="AQ217">
        <v>6.1</v>
      </c>
      <c r="AR217">
        <v>0.8</v>
      </c>
      <c r="AS217">
        <v>9.73</v>
      </c>
      <c r="AT217">
        <v>2.33</v>
      </c>
      <c r="AU217">
        <v>2.78</v>
      </c>
      <c r="AV217">
        <v>2.3199999999999998</v>
      </c>
      <c r="AW217">
        <v>2.0099999999999998</v>
      </c>
      <c r="AZ217">
        <v>94</v>
      </c>
      <c r="BA217">
        <v>92</v>
      </c>
      <c r="BB217" s="1">
        <v>91</v>
      </c>
      <c r="BC217" s="1">
        <v>92</v>
      </c>
      <c r="BD217" s="1">
        <v>90</v>
      </c>
      <c r="BE217" s="1">
        <v>92</v>
      </c>
      <c r="BF217" s="1">
        <v>91</v>
      </c>
      <c r="BG217" s="1">
        <v>87</v>
      </c>
      <c r="BH217" s="1">
        <v>90</v>
      </c>
      <c r="BI217" s="1">
        <v>91</v>
      </c>
      <c r="BJ217" s="1">
        <v>89</v>
      </c>
      <c r="BK217" s="1">
        <v>90</v>
      </c>
      <c r="BL217" s="1">
        <v>81</v>
      </c>
      <c r="BM217">
        <v>90</v>
      </c>
      <c r="BN217">
        <v>89</v>
      </c>
      <c r="BO217">
        <v>90</v>
      </c>
      <c r="BP217">
        <v>92</v>
      </c>
      <c r="BQ217">
        <v>92</v>
      </c>
      <c r="BS217" s="265">
        <v>0.25</v>
      </c>
      <c r="BT217" s="265">
        <v>0.06</v>
      </c>
      <c r="BU217" s="265">
        <v>2.4</v>
      </c>
      <c r="BV217" s="265">
        <v>0.31</v>
      </c>
      <c r="BW217" s="265">
        <v>0.04</v>
      </c>
      <c r="BX217" s="265">
        <v>0.8</v>
      </c>
      <c r="BY217" s="264"/>
      <c r="CB217">
        <v>50</v>
      </c>
      <c r="CC217">
        <v>50</v>
      </c>
      <c r="CH217" s="136">
        <v>56</v>
      </c>
      <c r="CV217" s="4"/>
      <c r="CW217" s="331">
        <f t="shared" si="359"/>
        <v>3.6566000000000001</v>
      </c>
      <c r="CX217" s="331">
        <f t="shared" si="360"/>
        <v>1.3248</v>
      </c>
      <c r="CY217" s="331">
        <f t="shared" si="361"/>
        <v>2.4843000000000002</v>
      </c>
      <c r="CZ217" s="331">
        <f t="shared" si="362"/>
        <v>3.9559999999999995</v>
      </c>
      <c r="DA217" s="331">
        <f t="shared" si="363"/>
        <v>3.0869999999999997</v>
      </c>
      <c r="DB217" s="331">
        <f t="shared" si="364"/>
        <v>0.69920000000000004</v>
      </c>
      <c r="DC217" s="331">
        <f t="shared" si="365"/>
        <v>1.3472</v>
      </c>
      <c r="DD217" s="331">
        <f t="shared" si="366"/>
        <v>2.6389999999999998</v>
      </c>
      <c r="DE217" s="331">
        <f t="shared" si="367"/>
        <v>4.4882</v>
      </c>
      <c r="DF217" s="331">
        <f t="shared" si="368"/>
        <v>1.8618000000000001</v>
      </c>
      <c r="DG217" s="331">
        <f t="shared" si="369"/>
        <v>0.69299999999999995</v>
      </c>
      <c r="DH217" s="330">
        <f t="shared" si="370"/>
        <v>2.5571000000000002</v>
      </c>
      <c r="DI217" s="330">
        <f t="shared" si="371"/>
        <v>2.1360000000000001</v>
      </c>
      <c r="DJ217" s="330">
        <f t="shared" si="372"/>
        <v>5.49</v>
      </c>
      <c r="DK217" s="330">
        <f t="shared" si="373"/>
        <v>0.64800000000000002</v>
      </c>
      <c r="DL217" s="330">
        <f t="shared" si="374"/>
        <v>8.7569999999999997</v>
      </c>
      <c r="DM217" s="330">
        <f t="shared" si="375"/>
        <v>2.0737000000000001</v>
      </c>
      <c r="DN217" s="330">
        <f t="shared" si="376"/>
        <v>2.5019999999999998</v>
      </c>
      <c r="DO217" s="330">
        <f t="shared" si="377"/>
        <v>2.1343999999999999</v>
      </c>
      <c r="DP217" s="330">
        <f t="shared" si="378"/>
        <v>1.8492</v>
      </c>
      <c r="DQ217" s="1">
        <v>0.4</v>
      </c>
      <c r="DR217" s="1">
        <v>0.4</v>
      </c>
      <c r="DS217" s="1">
        <v>0</v>
      </c>
      <c r="DT217" s="1">
        <v>0</v>
      </c>
      <c r="DW217" s="1">
        <v>1000</v>
      </c>
      <c r="DX217" s="1">
        <v>0.5</v>
      </c>
      <c r="EA217" s="243">
        <v>0.4</v>
      </c>
      <c r="EB217" s="1">
        <v>0.32000000000000006</v>
      </c>
      <c r="EI217" s="1">
        <v>0.74</v>
      </c>
      <c r="EK217" s="286"/>
      <c r="EL217" s="286"/>
      <c r="EM217" s="286"/>
      <c r="EN217" s="286"/>
      <c r="EO217" s="286"/>
      <c r="EP217" s="286"/>
      <c r="EQ217" s="243"/>
      <c r="FM217" s="335">
        <f t="shared" si="267"/>
        <v>0.64638523761375133</v>
      </c>
      <c r="FN217" s="335">
        <f t="shared" si="268"/>
        <v>0.62798281092012143</v>
      </c>
      <c r="FO217" s="338">
        <f t="shared" si="269"/>
        <v>1.0293040293040292</v>
      </c>
      <c r="FP217" s="338">
        <f t="shared" si="270"/>
        <v>0.17517694641051568</v>
      </c>
      <c r="FQ217" s="339">
        <f t="shared" si="271"/>
        <v>7.0642857142857132E-2</v>
      </c>
    </row>
    <row r="218" spans="2:173" x14ac:dyDescent="0.15">
      <c r="B218" s="182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S218" s="265"/>
      <c r="BT218" s="265"/>
      <c r="BU218" s="265"/>
      <c r="BV218" s="265"/>
      <c r="BW218" s="265"/>
      <c r="BX218" s="265"/>
      <c r="BY218" s="264"/>
      <c r="CH218" s="136"/>
      <c r="DF218" s="107"/>
      <c r="DG218" s="107"/>
      <c r="DH218" s="228"/>
      <c r="DI218" s="228"/>
      <c r="DJ218" s="228"/>
      <c r="DK218" s="228"/>
      <c r="DL218" s="228"/>
      <c r="DM218" s="228"/>
      <c r="DN218" s="228"/>
      <c r="DO218" s="228"/>
      <c r="EK218" s="286"/>
      <c r="EL218" s="286"/>
      <c r="EM218" s="286"/>
      <c r="EN218" s="286"/>
      <c r="EO218" s="286"/>
      <c r="EP218" s="286"/>
      <c r="EQ218" s="243"/>
    </row>
    <row r="219" spans="2:173" x14ac:dyDescent="0.15">
      <c r="B219" s="182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S219" s="265"/>
      <c r="BT219" s="265"/>
      <c r="BU219" s="265"/>
      <c r="BV219" s="265"/>
      <c r="BW219" s="265"/>
      <c r="BX219" s="265"/>
      <c r="BY219" s="264"/>
      <c r="CH219" s="136"/>
      <c r="DF219" s="107"/>
      <c r="DG219" s="107"/>
      <c r="DH219" s="228"/>
      <c r="DI219" s="228"/>
      <c r="DJ219" s="228"/>
      <c r="DK219" s="228"/>
      <c r="DL219" s="228"/>
      <c r="DM219" s="228"/>
      <c r="DN219" s="228"/>
      <c r="DO219" s="228"/>
      <c r="EK219" s="286"/>
      <c r="EL219" s="286"/>
      <c r="EM219" s="286"/>
      <c r="EN219" s="286"/>
      <c r="EO219" s="286"/>
      <c r="EP219" s="286"/>
      <c r="EQ219" s="243"/>
    </row>
    <row r="220" spans="2:173" x14ac:dyDescent="0.15"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S220" s="265"/>
      <c r="BT220" s="265"/>
      <c r="BU220" s="265"/>
      <c r="BV220" s="265"/>
      <c r="BW220" s="265"/>
      <c r="BX220" s="265"/>
      <c r="BY220" s="264"/>
      <c r="CH220" s="136"/>
    </row>
    <row r="221" spans="2:173" ht="14" x14ac:dyDescent="0.15">
      <c r="B221" s="120" t="s">
        <v>151</v>
      </c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S221" s="265"/>
      <c r="BT221" s="265"/>
      <c r="BU221" s="265"/>
      <c r="BV221" s="265"/>
      <c r="BW221" s="265"/>
      <c r="BX221" s="265"/>
      <c r="BY221" s="264"/>
      <c r="CH221" s="136"/>
      <c r="DV221" s="256" t="s">
        <v>152</v>
      </c>
      <c r="DW221" s="256" t="s">
        <v>153</v>
      </c>
      <c r="DX221" s="256" t="s">
        <v>154</v>
      </c>
    </row>
    <row r="222" spans="2:173" ht="15" x14ac:dyDescent="0.2">
      <c r="B222" s="121" t="s">
        <v>147</v>
      </c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S222" s="265"/>
      <c r="BT222" s="265"/>
      <c r="BU222" s="265"/>
      <c r="BV222" s="265"/>
      <c r="BW222" s="265"/>
      <c r="BX222" s="265"/>
      <c r="BY222" s="264"/>
      <c r="CH222" s="136"/>
      <c r="DV222" s="257">
        <f>0.000027</f>
        <v>2.6999999999999999E-5</v>
      </c>
      <c r="DW222" s="257">
        <v>-1.5318E-2</v>
      </c>
      <c r="DX222" s="258">
        <v>4.1143020000000003</v>
      </c>
    </row>
    <row r="223" spans="2:173" ht="15" x14ac:dyDescent="0.2">
      <c r="B223" s="121" t="s">
        <v>148</v>
      </c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S223" s="265"/>
      <c r="BT223" s="265"/>
      <c r="BU223" s="265"/>
      <c r="BV223" s="265"/>
      <c r="BW223" s="265"/>
      <c r="BX223" s="265"/>
      <c r="BY223" s="264"/>
      <c r="CH223" s="136"/>
      <c r="DV223" s="257">
        <f>0.00004</f>
        <v>4.0000000000000003E-5</v>
      </c>
      <c r="DW223" s="257">
        <v>-1.9913E-2</v>
      </c>
      <c r="DX223" s="258">
        <v>4.3697429999999997</v>
      </c>
    </row>
    <row r="224" spans="2:173" ht="15" x14ac:dyDescent="0.2">
      <c r="B224" s="121" t="s">
        <v>149</v>
      </c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S224" s="1"/>
      <c r="BT224" s="1"/>
      <c r="BU224" s="1"/>
      <c r="BV224" s="1"/>
      <c r="BW224" s="1"/>
      <c r="BX224" s="1"/>
      <c r="CH224" s="136"/>
      <c r="DV224" s="257">
        <f>0.000033</f>
        <v>3.3000000000000003E-5</v>
      </c>
      <c r="DW224" s="257">
        <v>-1.7616E-2</v>
      </c>
      <c r="DX224" s="258">
        <v>4.2420229999999997</v>
      </c>
    </row>
    <row r="225" spans="2:128" ht="15" x14ac:dyDescent="0.2">
      <c r="B225" s="121" t="s">
        <v>150</v>
      </c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S225" s="1"/>
      <c r="BT225" s="1"/>
      <c r="BU225" s="1"/>
      <c r="BV225" s="1"/>
      <c r="BW225" s="1"/>
      <c r="BX225" s="1"/>
      <c r="CH225" s="136"/>
      <c r="DV225" s="257"/>
      <c r="DW225" s="257">
        <f xml:space="preserve"> -0.006993</f>
        <v>-6.9930000000000001E-3</v>
      </c>
      <c r="DX225" s="258">
        <v>3.7038530000000001</v>
      </c>
    </row>
    <row r="226" spans="2:128" ht="15" x14ac:dyDescent="0.2">
      <c r="B226" s="122" t="s">
        <v>155</v>
      </c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S226" s="1"/>
      <c r="BT226" s="1"/>
      <c r="BU226" s="1"/>
      <c r="BV226" s="1"/>
      <c r="BW226" s="1"/>
      <c r="BX226" s="1"/>
      <c r="CH226" s="136"/>
      <c r="DV226" s="257">
        <f xml:space="preserve"> 0.0000335</f>
        <v>3.3500000000000001E-5</v>
      </c>
      <c r="DW226" s="257">
        <f>- 0.0182435</f>
        <v>-1.8243499999999999E-2</v>
      </c>
      <c r="DX226" s="258">
        <v>4.4442051999999999</v>
      </c>
    </row>
    <row r="227" spans="2:128" ht="15" x14ac:dyDescent="0.2">
      <c r="B227" s="122" t="s">
        <v>156</v>
      </c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S227" s="1"/>
      <c r="BT227" s="1"/>
      <c r="BU227" s="1"/>
      <c r="BV227" s="1"/>
      <c r="BW227" s="1"/>
      <c r="BX227" s="1"/>
      <c r="DV227" s="257"/>
      <c r="DW227" s="257">
        <f xml:space="preserve"> -0.006472</f>
        <v>-6.4720000000000003E-3</v>
      </c>
      <c r="DX227" s="258">
        <v>3.4834800000000001</v>
      </c>
    </row>
    <row r="228" spans="2:128" ht="15" x14ac:dyDescent="0.2">
      <c r="B228" s="122" t="s">
        <v>146</v>
      </c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S228" s="1"/>
      <c r="BT228" s="1"/>
      <c r="BU228" s="1"/>
      <c r="BV228" s="1"/>
      <c r="BW228" s="1"/>
      <c r="BX228" s="1"/>
      <c r="DV228" s="257">
        <f xml:space="preserve"> 0.0000361</f>
        <v>3.6100000000000003E-5</v>
      </c>
      <c r="DW228" s="257">
        <v>-1.9140600000000001E-2</v>
      </c>
      <c r="DX228" s="258">
        <v>4.4392250000000004</v>
      </c>
    </row>
  </sheetData>
  <phoneticPr fontId="0" type="noConversion"/>
  <pageMargins left="0.75" right="0.75" top="1" bottom="1" header="0.5" footer="0.5"/>
  <pageSetup orientation="portrait" r:id="rId1"/>
  <headerFooter alignWithMargins="0"/>
  <ignoredErrors>
    <ignoredError sqref="F176 D176:E177 F177:DK177 DQ177:DS177 DU177:DV177 DY177:EF177 EH177:FN177 DX177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L352"/>
  <sheetViews>
    <sheetView zoomScale="170" zoomScaleNormal="170" workbookViewId="0">
      <pane xSplit="1" ySplit="7" topLeftCell="B100" activePane="bottomRight" state="frozen"/>
      <selection activeCell="DX129" sqref="DX129"/>
      <selection pane="topRight" activeCell="DX129" sqref="DX129"/>
      <selection pane="bottomLeft" activeCell="DX129" sqref="DX129"/>
      <selection pane="bottomRight" activeCell="DX129" sqref="DX129"/>
    </sheetView>
  </sheetViews>
  <sheetFormatPr baseColWidth="10" defaultColWidth="8.83203125" defaultRowHeight="13" x14ac:dyDescent="0.15"/>
  <cols>
    <col min="1" max="1" width="30.5" bestFit="1" customWidth="1"/>
    <col min="2" max="7" width="9.33203125" customWidth="1"/>
    <col min="8" max="8" width="9.33203125" style="24" customWidth="1"/>
    <col min="9" max="14" width="9.33203125" customWidth="1"/>
    <col min="15" max="15" width="9.33203125" style="24" customWidth="1"/>
    <col min="16" max="21" width="9.33203125" customWidth="1"/>
    <col min="22" max="22" width="9.33203125" style="24" customWidth="1"/>
    <col min="23" max="29" width="9.33203125" customWidth="1"/>
    <col min="30" max="30" width="9.33203125" style="24" customWidth="1"/>
    <col min="31" max="36" width="9.33203125" customWidth="1"/>
    <col min="37" max="38" width="7.5" customWidth="1"/>
  </cols>
  <sheetData>
    <row r="1" spans="1:38" x14ac:dyDescent="0.15">
      <c r="B1" s="24"/>
      <c r="C1" s="24"/>
      <c r="D1" s="24"/>
      <c r="E1" s="24"/>
      <c r="F1" s="24"/>
      <c r="G1" s="24"/>
      <c r="I1" s="24"/>
      <c r="J1" s="24"/>
      <c r="K1" s="24"/>
      <c r="L1" s="24"/>
      <c r="M1" s="24"/>
      <c r="N1" s="24"/>
      <c r="P1" s="24"/>
      <c r="Q1" s="24"/>
      <c r="R1" s="24"/>
      <c r="S1" s="24"/>
      <c r="T1" s="24"/>
      <c r="U1" s="24"/>
      <c r="W1" s="24"/>
      <c r="X1" s="24"/>
      <c r="Y1" s="24"/>
      <c r="Z1" s="24"/>
      <c r="AA1" s="24"/>
      <c r="AB1" s="24"/>
      <c r="AC1" s="24"/>
      <c r="AE1" s="24"/>
      <c r="AF1" s="24"/>
      <c r="AG1" s="24"/>
      <c r="AH1" s="24"/>
      <c r="AI1" s="24"/>
      <c r="AJ1" s="24"/>
    </row>
    <row r="2" spans="1:38" ht="16" x14ac:dyDescent="0.2">
      <c r="A2" s="6"/>
      <c r="B2" s="418" t="s">
        <v>489</v>
      </c>
      <c r="C2" s="7" t="s">
        <v>490</v>
      </c>
      <c r="D2" s="7" t="s">
        <v>491</v>
      </c>
      <c r="E2" s="7" t="s">
        <v>492</v>
      </c>
      <c r="F2" s="7" t="s">
        <v>493</v>
      </c>
      <c r="G2" s="418" t="s">
        <v>494</v>
      </c>
      <c r="H2" s="424"/>
      <c r="I2" s="418" t="s">
        <v>489</v>
      </c>
      <c r="J2" s="7" t="s">
        <v>490</v>
      </c>
      <c r="K2" s="7" t="s">
        <v>491</v>
      </c>
      <c r="L2" s="7" t="s">
        <v>492</v>
      </c>
      <c r="M2" s="7" t="s">
        <v>493</v>
      </c>
      <c r="N2" s="418" t="s">
        <v>494</v>
      </c>
      <c r="O2" s="450"/>
      <c r="P2" s="418" t="s">
        <v>489</v>
      </c>
      <c r="Q2" s="7" t="s">
        <v>490</v>
      </c>
      <c r="R2" s="7" t="s">
        <v>491</v>
      </c>
      <c r="S2" s="7" t="s">
        <v>492</v>
      </c>
      <c r="T2" s="7" t="s">
        <v>493</v>
      </c>
      <c r="U2" s="418" t="s">
        <v>494</v>
      </c>
      <c r="V2" s="450"/>
      <c r="W2" s="418" t="s">
        <v>489</v>
      </c>
      <c r="X2" s="7" t="s">
        <v>490</v>
      </c>
      <c r="Y2" s="7" t="s">
        <v>491</v>
      </c>
      <c r="Z2" s="7" t="s">
        <v>492</v>
      </c>
      <c r="AA2" s="7" t="s">
        <v>493</v>
      </c>
      <c r="AB2" s="418" t="s">
        <v>494</v>
      </c>
      <c r="AC2" s="7" t="s">
        <v>495</v>
      </c>
      <c r="AD2" s="450"/>
      <c r="AE2" s="418" t="s">
        <v>489</v>
      </c>
      <c r="AF2" s="7" t="s">
        <v>490</v>
      </c>
      <c r="AG2" s="7" t="s">
        <v>491</v>
      </c>
      <c r="AH2" s="7" t="s">
        <v>492</v>
      </c>
      <c r="AI2" s="7" t="s">
        <v>493</v>
      </c>
      <c r="AJ2" s="7" t="s">
        <v>494</v>
      </c>
      <c r="AK2" s="9"/>
      <c r="AL2" s="9"/>
    </row>
    <row r="3" spans="1:38" x14ac:dyDescent="0.15">
      <c r="A3" s="1"/>
      <c r="B3" s="505" t="s">
        <v>65</v>
      </c>
      <c r="C3" s="505"/>
      <c r="D3" s="505"/>
      <c r="E3" s="505"/>
      <c r="F3" s="505"/>
      <c r="G3" s="505"/>
      <c r="H3" s="370"/>
      <c r="I3" s="504" t="s">
        <v>65</v>
      </c>
      <c r="J3" s="505"/>
      <c r="K3" s="505"/>
      <c r="L3" s="505"/>
      <c r="M3" s="505"/>
      <c r="N3" s="505"/>
      <c r="O3" s="370"/>
      <c r="P3" s="504" t="s">
        <v>65</v>
      </c>
      <c r="Q3" s="505"/>
      <c r="R3" s="505"/>
      <c r="S3" s="505"/>
      <c r="T3" s="505"/>
      <c r="U3" s="505"/>
      <c r="V3" s="370"/>
      <c r="W3" s="504" t="s">
        <v>65</v>
      </c>
      <c r="X3" s="505"/>
      <c r="Y3" s="505"/>
      <c r="Z3" s="505"/>
      <c r="AA3" s="505"/>
      <c r="AB3" s="505"/>
      <c r="AC3" s="505"/>
      <c r="AD3" s="370"/>
      <c r="AE3" s="504" t="s">
        <v>65</v>
      </c>
      <c r="AF3" s="505"/>
      <c r="AG3" s="505"/>
      <c r="AH3" s="505"/>
      <c r="AI3" s="505"/>
      <c r="AJ3" s="505"/>
    </row>
    <row r="4" spans="1:38" x14ac:dyDescent="0.15">
      <c r="A4" s="1"/>
      <c r="B4" s="16">
        <v>40</v>
      </c>
      <c r="C4" s="15">
        <v>40</v>
      </c>
      <c r="D4" s="15">
        <v>40</v>
      </c>
      <c r="E4" s="15">
        <v>40</v>
      </c>
      <c r="F4" s="15">
        <v>40</v>
      </c>
      <c r="G4" s="419">
        <v>40</v>
      </c>
      <c r="H4" s="425"/>
      <c r="I4" s="16">
        <v>80</v>
      </c>
      <c r="J4" s="15">
        <v>80</v>
      </c>
      <c r="K4" s="15">
        <v>80</v>
      </c>
      <c r="L4" s="15">
        <v>80</v>
      </c>
      <c r="M4" s="15">
        <v>80</v>
      </c>
      <c r="N4" s="419">
        <v>80</v>
      </c>
      <c r="O4" s="451"/>
      <c r="P4" s="16">
        <v>120</v>
      </c>
      <c r="Q4" s="16">
        <v>120</v>
      </c>
      <c r="R4" s="16">
        <v>120</v>
      </c>
      <c r="S4" s="16">
        <v>120</v>
      </c>
      <c r="T4" s="16">
        <v>120</v>
      </c>
      <c r="U4" s="16">
        <v>120</v>
      </c>
      <c r="V4" s="451"/>
      <c r="W4" s="16">
        <v>170</v>
      </c>
      <c r="X4" s="16">
        <v>170</v>
      </c>
      <c r="Y4" s="16">
        <v>170</v>
      </c>
      <c r="Z4" s="16">
        <v>170</v>
      </c>
      <c r="AA4" s="16">
        <v>170</v>
      </c>
      <c r="AB4" s="16">
        <v>170</v>
      </c>
      <c r="AC4" s="16">
        <v>170</v>
      </c>
      <c r="AD4" s="451"/>
      <c r="AE4" s="16">
        <v>230</v>
      </c>
      <c r="AF4" s="16">
        <v>230</v>
      </c>
      <c r="AG4" s="16">
        <v>230</v>
      </c>
      <c r="AH4" s="16">
        <v>230</v>
      </c>
      <c r="AI4" s="16">
        <v>230</v>
      </c>
      <c r="AJ4" s="16">
        <v>230</v>
      </c>
      <c r="AK4" s="14"/>
      <c r="AL4" s="14"/>
    </row>
    <row r="5" spans="1:38" ht="14" thickBot="1" x14ac:dyDescent="0.2">
      <c r="A5" s="2" t="s">
        <v>15</v>
      </c>
      <c r="B5" s="17">
        <v>90</v>
      </c>
      <c r="C5" s="17">
        <v>90</v>
      </c>
      <c r="D5" s="17">
        <v>90</v>
      </c>
      <c r="E5" s="17">
        <v>90</v>
      </c>
      <c r="F5" s="17">
        <v>90</v>
      </c>
      <c r="G5" s="17">
        <v>90</v>
      </c>
      <c r="H5" s="426"/>
      <c r="I5" s="17">
        <v>120</v>
      </c>
      <c r="J5" s="17">
        <v>120</v>
      </c>
      <c r="K5" s="17">
        <v>120</v>
      </c>
      <c r="L5" s="17">
        <v>120</v>
      </c>
      <c r="M5" s="17">
        <v>120</v>
      </c>
      <c r="N5" s="17">
        <v>120</v>
      </c>
      <c r="O5" s="426"/>
      <c r="P5" s="17">
        <v>170</v>
      </c>
      <c r="Q5" s="17">
        <v>170</v>
      </c>
      <c r="R5" s="17">
        <v>170</v>
      </c>
      <c r="S5" s="17">
        <v>170</v>
      </c>
      <c r="T5" s="17">
        <v>170</v>
      </c>
      <c r="U5" s="17">
        <v>170</v>
      </c>
      <c r="V5" s="426"/>
      <c r="W5" s="17">
        <v>220</v>
      </c>
      <c r="X5" s="17">
        <v>220</v>
      </c>
      <c r="Y5" s="17">
        <v>220</v>
      </c>
      <c r="Z5" s="17">
        <v>220</v>
      </c>
      <c r="AA5" s="17">
        <v>220</v>
      </c>
      <c r="AB5" s="17">
        <v>220</v>
      </c>
      <c r="AC5" s="17">
        <v>220</v>
      </c>
      <c r="AD5" s="426"/>
      <c r="AE5" s="17">
        <v>280</v>
      </c>
      <c r="AF5" s="17">
        <v>280</v>
      </c>
      <c r="AG5" s="17">
        <v>280</v>
      </c>
      <c r="AH5" s="17">
        <v>280</v>
      </c>
      <c r="AI5" s="17">
        <v>280</v>
      </c>
      <c r="AJ5" s="17">
        <v>280</v>
      </c>
      <c r="AK5" s="14"/>
      <c r="AL5" s="14"/>
    </row>
    <row r="6" spans="1:38" x14ac:dyDescent="0.15">
      <c r="A6" t="s">
        <v>1</v>
      </c>
      <c r="B6" s="67">
        <f>IF(B4="","",((((B225-B299)*2000)+((SUM(B8:B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1387.726202335266</v>
      </c>
      <c r="C6" s="67">
        <f>IF(C4="","",((((C225-C299)*2000)+((SUM(C8:C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1330.9311014942432</v>
      </c>
      <c r="D6" s="67">
        <f>IF(D4="","",((((D225-D299)*2000)+((SUM(D8:D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1273.3831305625868</v>
      </c>
      <c r="E6" s="67">
        <f>IF(E4="","",((((E225-E299)*2000)+((SUM(E8:E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1216.2653711112926</v>
      </c>
      <c r="F6" s="67">
        <f>IF(F4="","",((((F225-F299)*2000)+((SUM(F8:F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1158.5022944394548</v>
      </c>
      <c r="G6" s="67">
        <f>IF(G4="","",((((G225-G299)*2000)+((SUM(G8:G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1102.5676165591574</v>
      </c>
      <c r="H6" s="427"/>
      <c r="I6" s="67">
        <f>IF(I4="","",((((I225-I299)*2000)+((SUM(I8:I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1572.2796113333877</v>
      </c>
      <c r="J6" s="67">
        <f>IF(J4="","",((((J225-J299)*2000)+((SUM(J8:J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1516.7473699681552</v>
      </c>
      <c r="K6" s="67">
        <f>IF(K4="","",((((K225-K299)*2000)+((SUM(K8:K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1459.9244941618358</v>
      </c>
      <c r="L6" s="67">
        <f>IF(L4="","",((((L225-L299)*2000)+((SUM(L8:L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1407.5018143218747</v>
      </c>
      <c r="M6" s="67">
        <f>IF(M4="","",((((M225-M299)*2000)+((SUM(M8:M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1350.6789385155546</v>
      </c>
      <c r="N6" s="67">
        <f>IF(N4="","",((((N225-N299)*2000)+((SUM(N8:N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1294.931591410141</v>
      </c>
      <c r="O6" s="427"/>
      <c r="P6" s="67">
        <f>IF(P4="","",((((P225-P299)*2000)+((SUM(P8:P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1662.4171274597861</v>
      </c>
      <c r="Q6" s="67">
        <f>IF(Q4="","",((((Q225-Q299)*2000)+((SUM(Q8:Q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1619.6129599085491</v>
      </c>
      <c r="R6" s="67">
        <f>IF(R4="","",((((R225-R299)*2000)+((SUM(R8:R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1572.5161492610437</v>
      </c>
      <c r="S6" s="67">
        <f>IF(S4="","",((((S225-S299)*2000)+((SUM(S8:S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1529.7119817098062</v>
      </c>
      <c r="T6" s="67">
        <f>IF(T4="","",((((T225-T299)*2000)+((SUM(T8:T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1487.01536702866</v>
      </c>
      <c r="U6" s="67">
        <f>IF(U4="","",((((U225-U299)*2000)+((SUM(U8:U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1437.3682697803542</v>
      </c>
      <c r="V6" s="427"/>
      <c r="W6" s="67">
        <f>IF(W4="","",((((W225-W299)*2000)+((SUM(W8:W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1705.2212950110229</v>
      </c>
      <c r="X6" s="67">
        <f>IF(X4="","",((((X225-X299)*2000)+((SUM(X8:X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1662.4171274597861</v>
      </c>
      <c r="Y6" s="67">
        <f>IF(Y4="","",((((Y225-Y299)*2000)+((SUM(Y8:Y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1619.6129599085491</v>
      </c>
      <c r="Z6" s="67">
        <f>IF(Z4="","",((((Z225-Z299)*2000)+((SUM(Z8:Z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1572.5161492610437</v>
      </c>
      <c r="AA6" s="67">
        <f>IF(AA4="","",((((AA225-AA299)*2000)+((SUM(AA8:AA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1529.7119817098062</v>
      </c>
      <c r="AB6" s="67">
        <f>IF(AB4="","",((((AB225-AB299)*2000)+((SUM(AB8:AB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1487.01536702866</v>
      </c>
      <c r="AC6" s="67">
        <f>IF(AC4="","",((((AC225-AC299)*2000)+((SUM(AC8:AC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1437.3682697803542</v>
      </c>
      <c r="AD6" s="427"/>
      <c r="AE6" s="67">
        <f>IF(AE4="","",((((AE225-AE299)*2000)+((SUM(AE8:AE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1747.2501020658121</v>
      </c>
      <c r="AF6" s="67">
        <f>IF(AF4="","",((((AF225-AF299)*2000)+((SUM(AF8:AF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1724.6331215807954</v>
      </c>
      <c r="AG6" s="67">
        <f>IF(AG4="","",((((AG225-AG299)*2000)+((SUM(AG8:AG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1702.0161410957785</v>
      </c>
      <c r="AH6" s="67">
        <f>IF(AH4="","",((((AH225-AH299)*2000)+((SUM(AH8:AH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1679.3991606107622</v>
      </c>
      <c r="AI6" s="67">
        <f>IF(AI4="","",((((AI225-AI299)*2000)+((SUM(AI8:AI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1656.7821801257451</v>
      </c>
      <c r="AJ6" s="67">
        <f>IF(AJ4="","",((((AJ225-AJ299)*2000)+((SUM(AJ8:AJ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1625.99993467788</v>
      </c>
      <c r="AK6" s="23"/>
      <c r="AL6" s="23"/>
    </row>
    <row r="7" spans="1:38" x14ac:dyDescent="0.15">
      <c r="A7" t="s">
        <v>282</v>
      </c>
      <c r="B7" s="67">
        <f t="shared" ref="B7:G7" si="0">IF(B4="","",2000-SUM(B8:B217)-B6)</f>
        <v>512.17379766473414</v>
      </c>
      <c r="C7" s="67">
        <f t="shared" si="0"/>
        <v>562.16889850575672</v>
      </c>
      <c r="D7" s="67">
        <f t="shared" si="0"/>
        <v>612.21686943741315</v>
      </c>
      <c r="E7" s="67">
        <f t="shared" si="0"/>
        <v>662.23462888870745</v>
      </c>
      <c r="F7" s="67">
        <f t="shared" si="0"/>
        <v>712.29770556054518</v>
      </c>
      <c r="G7" s="67">
        <f t="shared" si="0"/>
        <v>762.23238344084257</v>
      </c>
      <c r="H7" s="427"/>
      <c r="I7" s="67">
        <f t="shared" ref="I7:N7" si="1">IF(I4="","",2000-SUM(I8:I217)-I6)</f>
        <v>332.42038866661233</v>
      </c>
      <c r="J7" s="67">
        <f t="shared" si="1"/>
        <v>391.07263003184471</v>
      </c>
      <c r="K7" s="67">
        <f t="shared" si="1"/>
        <v>449.8155058381642</v>
      </c>
      <c r="L7" s="67">
        <f t="shared" si="1"/>
        <v>505.2581856781253</v>
      </c>
      <c r="M7" s="67">
        <f t="shared" si="1"/>
        <v>564.00106148444547</v>
      </c>
      <c r="N7" s="67">
        <f t="shared" si="1"/>
        <v>622.66840858985893</v>
      </c>
      <c r="O7" s="427"/>
      <c r="P7" s="67">
        <f t="shared" ref="P7:AE7" si="2">IF(P4="","",2000-SUM(P8:P217)-P6)</f>
        <v>263.0628725402139</v>
      </c>
      <c r="Q7" s="67">
        <f>IF(Q4="","",2000-SUM(Q8:Q217)-Q6)</f>
        <v>307.24704009145103</v>
      </c>
      <c r="R7" s="67">
        <f>IF(R4="","",2000-SUM(R8:R217)-R6)</f>
        <v>354.72385073895634</v>
      </c>
      <c r="S7" s="67">
        <f>IF(S4="","",2000-SUM(S8:S217)-S6)</f>
        <v>398.9080182901937</v>
      </c>
      <c r="T7" s="67">
        <f>IF(T4="","",2000-SUM(T8:T217)-T6)</f>
        <v>443.08463297133994</v>
      </c>
      <c r="U7" s="67">
        <f>IF(U4="","",2000-SUM(U8:U217)-U6)</f>
        <v>493.73173021964567</v>
      </c>
      <c r="V7" s="427"/>
      <c r="W7" s="67">
        <f t="shared" si="2"/>
        <v>218.87870498897701</v>
      </c>
      <c r="X7" s="67">
        <f t="shared" ref="X7:AC7" si="3">IF(X4="","",2000-SUM(X8:X217)-X6)</f>
        <v>263.0628725402139</v>
      </c>
      <c r="Y7" s="67">
        <f t="shared" si="3"/>
        <v>307.24704009145103</v>
      </c>
      <c r="Z7" s="67">
        <f t="shared" si="3"/>
        <v>354.72385073895634</v>
      </c>
      <c r="AA7" s="67">
        <f t="shared" si="3"/>
        <v>398.9080182901937</v>
      </c>
      <c r="AB7" s="67">
        <f t="shared" si="3"/>
        <v>443.08463297133994</v>
      </c>
      <c r="AC7" s="67">
        <f t="shared" si="3"/>
        <v>493.73173021964567</v>
      </c>
      <c r="AD7" s="427"/>
      <c r="AE7" s="67">
        <f t="shared" si="2"/>
        <v>203.74989793418786</v>
      </c>
      <c r="AF7" s="67">
        <f t="shared" ref="AF7" si="4">IF(AF4="","",2000-SUM(AF8:AF217)-AF6)</f>
        <v>222.5868784192046</v>
      </c>
      <c r="AG7" s="67">
        <f t="shared" ref="AG7" si="5">IF(AG4="","",2000-SUM(AG8:AG217)-AG6)</f>
        <v>241.42385890422156</v>
      </c>
      <c r="AH7" s="67">
        <f t="shared" ref="AH7" si="6">IF(AH4="","",2000-SUM(AH8:AH217)-AH6)</f>
        <v>260.26083938923784</v>
      </c>
      <c r="AI7" s="67">
        <f t="shared" ref="AI7" si="7">IF(AI4="","",2000-SUM(AI8:AI217)-AI6)</f>
        <v>279.09781987425504</v>
      </c>
      <c r="AJ7" s="67">
        <f t="shared" ref="AJ7" si="8">IF(AJ4="","",2000-SUM(AJ8:AJ217)-AJ6)</f>
        <v>306.10006532211992</v>
      </c>
      <c r="AK7" s="23"/>
      <c r="AL7" s="23"/>
    </row>
    <row r="8" spans="1:38" ht="13" hidden="1" customHeight="1" x14ac:dyDescent="0.15">
      <c r="A8" t="str">
        <f>Nutrients!B8</f>
        <v>Corn</v>
      </c>
      <c r="B8" s="14"/>
      <c r="C8" s="14"/>
      <c r="D8" s="14"/>
      <c r="E8" s="14"/>
      <c r="F8" s="14"/>
      <c r="G8" s="14"/>
      <c r="H8" s="428"/>
      <c r="I8" s="14"/>
      <c r="J8" s="14"/>
      <c r="K8" s="14"/>
      <c r="L8" s="14"/>
      <c r="M8" s="14"/>
      <c r="N8" s="14"/>
      <c r="O8" s="428"/>
      <c r="P8" s="14"/>
      <c r="Q8" s="14"/>
      <c r="R8" s="14"/>
      <c r="S8" s="14"/>
      <c r="T8" s="14"/>
      <c r="U8" s="14"/>
      <c r="V8" s="428"/>
      <c r="W8" s="14"/>
      <c r="X8" s="14"/>
      <c r="Y8" s="14"/>
      <c r="Z8" s="14"/>
      <c r="AA8" s="14"/>
      <c r="AB8" s="14"/>
      <c r="AC8" s="14"/>
      <c r="AD8" s="428"/>
      <c r="AE8" s="14"/>
      <c r="AF8" s="14"/>
      <c r="AG8" s="14"/>
      <c r="AH8" s="14"/>
      <c r="AI8" s="14"/>
      <c r="AJ8" s="14"/>
    </row>
    <row r="9" spans="1:38" ht="13" hidden="1" customHeight="1" x14ac:dyDescent="0.15">
      <c r="A9" t="str">
        <f>Nutrients!B9</f>
        <v>Milo</v>
      </c>
      <c r="B9" s="14"/>
      <c r="C9" s="14"/>
      <c r="D9" s="14"/>
      <c r="E9" s="14"/>
      <c r="F9" s="14"/>
      <c r="G9" s="14"/>
      <c r="H9" s="428"/>
      <c r="I9" s="14"/>
      <c r="J9" s="14"/>
      <c r="K9" s="14"/>
      <c r="L9" s="14"/>
      <c r="M9" s="14"/>
      <c r="N9" s="14"/>
      <c r="O9" s="428"/>
      <c r="P9" s="14"/>
      <c r="Q9" s="14"/>
      <c r="R9" s="14"/>
      <c r="S9" s="14"/>
      <c r="T9" s="14"/>
      <c r="U9" s="14"/>
      <c r="V9" s="428"/>
      <c r="W9" s="14"/>
      <c r="X9" s="14"/>
      <c r="Y9" s="14"/>
      <c r="Z9" s="14"/>
      <c r="AA9" s="14"/>
      <c r="AB9" s="14"/>
      <c r="AC9" s="14"/>
      <c r="AD9" s="428"/>
      <c r="AE9" s="14"/>
      <c r="AF9" s="14"/>
      <c r="AG9" s="14"/>
      <c r="AH9" s="14"/>
      <c r="AI9" s="14"/>
      <c r="AJ9" s="14"/>
    </row>
    <row r="10" spans="1:38" ht="13" hidden="1" customHeight="1" x14ac:dyDescent="0.15">
      <c r="A10" t="str">
        <f>Nutrients!B10</f>
        <v>Alfalfa Meal</v>
      </c>
      <c r="B10" s="65"/>
      <c r="C10" s="65"/>
      <c r="D10" s="65"/>
      <c r="E10" s="65"/>
      <c r="F10" s="65"/>
      <c r="G10" s="65"/>
      <c r="H10" s="429"/>
      <c r="I10" s="65"/>
      <c r="J10" s="65"/>
      <c r="K10" s="65"/>
      <c r="L10" s="65"/>
      <c r="M10" s="65"/>
      <c r="N10" s="65"/>
      <c r="O10" s="429"/>
      <c r="P10" s="66"/>
      <c r="Q10" s="66"/>
      <c r="R10" s="66"/>
      <c r="S10" s="66"/>
      <c r="T10" s="66"/>
      <c r="U10" s="66"/>
      <c r="V10" s="452"/>
      <c r="W10" s="66"/>
      <c r="X10" s="66"/>
      <c r="Y10" s="66"/>
      <c r="Z10" s="66"/>
      <c r="AA10" s="66"/>
      <c r="AB10" s="66"/>
      <c r="AC10" s="66"/>
      <c r="AD10" s="452"/>
      <c r="AE10" s="66"/>
      <c r="AF10" s="66"/>
      <c r="AG10" s="66"/>
      <c r="AH10" s="66"/>
      <c r="AI10" s="66"/>
      <c r="AJ10" s="66"/>
    </row>
    <row r="11" spans="1:38" ht="13" hidden="1" customHeight="1" x14ac:dyDescent="0.15">
      <c r="A11" t="str">
        <f>Nutrients!B11</f>
        <v>Bakery Meal</v>
      </c>
      <c r="B11" s="65"/>
      <c r="C11" s="65"/>
      <c r="D11" s="65"/>
      <c r="E11" s="65"/>
      <c r="F11" s="65"/>
      <c r="G11" s="65"/>
      <c r="H11" s="429"/>
      <c r="I11" s="65"/>
      <c r="J11" s="65"/>
      <c r="K11" s="65"/>
      <c r="L11" s="65"/>
      <c r="M11" s="65"/>
      <c r="N11" s="65"/>
      <c r="O11" s="429"/>
      <c r="P11" s="66"/>
      <c r="Q11" s="66"/>
      <c r="R11" s="66"/>
      <c r="S11" s="66"/>
      <c r="T11" s="66"/>
      <c r="U11" s="66"/>
      <c r="V11" s="452"/>
      <c r="W11" s="66"/>
      <c r="X11" s="66"/>
      <c r="Y11" s="66"/>
      <c r="Z11" s="66"/>
      <c r="AA11" s="66"/>
      <c r="AB11" s="66"/>
      <c r="AC11" s="66"/>
      <c r="AD11" s="452"/>
      <c r="AE11" s="66"/>
      <c r="AF11" s="66"/>
      <c r="AG11" s="66"/>
      <c r="AH11" s="66"/>
      <c r="AI11" s="66"/>
      <c r="AJ11" s="66"/>
    </row>
    <row r="12" spans="1:38" ht="13" hidden="1" customHeight="1" x14ac:dyDescent="0.15">
      <c r="A12" t="str">
        <f>Nutrients!B12</f>
        <v>Barley</v>
      </c>
      <c r="B12" s="14"/>
      <c r="C12" s="14"/>
      <c r="D12" s="14"/>
      <c r="E12" s="14"/>
      <c r="F12" s="14"/>
      <c r="G12" s="14"/>
      <c r="H12" s="428"/>
      <c r="I12" s="14"/>
      <c r="J12" s="14"/>
      <c r="K12" s="14"/>
      <c r="L12" s="14"/>
      <c r="M12" s="14"/>
      <c r="N12" s="14"/>
      <c r="O12" s="428"/>
      <c r="P12" s="14"/>
      <c r="Q12" s="14"/>
      <c r="R12" s="14"/>
      <c r="S12" s="14"/>
      <c r="T12" s="14"/>
      <c r="U12" s="14"/>
      <c r="V12" s="428"/>
      <c r="W12" s="14"/>
      <c r="X12" s="14"/>
      <c r="Y12" s="14"/>
      <c r="Z12" s="14"/>
      <c r="AA12" s="14"/>
      <c r="AB12" s="14"/>
      <c r="AC12" s="14"/>
      <c r="AD12" s="428"/>
      <c r="AE12" s="14"/>
      <c r="AF12" s="14"/>
      <c r="AG12" s="14"/>
      <c r="AH12" s="14"/>
      <c r="AI12" s="14"/>
      <c r="AJ12" s="14"/>
      <c r="AK12" s="14"/>
      <c r="AL12" s="14"/>
    </row>
    <row r="13" spans="1:38" ht="13" hidden="1" customHeight="1" x14ac:dyDescent="0.15">
      <c r="A13" t="str">
        <f>Nutrients!B13</f>
        <v>Barley, Hulless</v>
      </c>
      <c r="B13" s="14"/>
      <c r="C13" s="14"/>
      <c r="D13" s="14"/>
      <c r="E13" s="14"/>
      <c r="F13" s="14"/>
      <c r="G13" s="14"/>
      <c r="H13" s="428"/>
      <c r="I13" s="14"/>
      <c r="J13" s="14"/>
      <c r="K13" s="14"/>
      <c r="L13" s="14"/>
      <c r="M13" s="14"/>
      <c r="N13" s="14"/>
      <c r="O13" s="428"/>
      <c r="P13" s="14"/>
      <c r="Q13" s="14"/>
      <c r="R13" s="14"/>
      <c r="S13" s="14"/>
      <c r="T13" s="14"/>
      <c r="U13" s="14"/>
      <c r="V13" s="428"/>
      <c r="W13" s="14"/>
      <c r="X13" s="14"/>
      <c r="Y13" s="14"/>
      <c r="Z13" s="14"/>
      <c r="AA13" s="14"/>
      <c r="AB13" s="14"/>
      <c r="AC13" s="14"/>
      <c r="AD13" s="428"/>
      <c r="AE13" s="14"/>
      <c r="AF13" s="14"/>
      <c r="AG13" s="14"/>
      <c r="AH13" s="14"/>
      <c r="AI13" s="14"/>
      <c r="AJ13" s="14"/>
      <c r="AK13" s="14"/>
      <c r="AL13" s="14"/>
    </row>
    <row r="14" spans="1:38" ht="13" hidden="1" customHeight="1" x14ac:dyDescent="0.15">
      <c r="A14" t="str">
        <f>Nutrients!B14</f>
        <v>Beans, Faba</v>
      </c>
      <c r="B14" s="14"/>
      <c r="C14" s="14"/>
      <c r="D14" s="14"/>
      <c r="E14" s="14"/>
      <c r="F14" s="14"/>
      <c r="G14" s="14"/>
      <c r="H14" s="428"/>
      <c r="I14" s="14"/>
      <c r="J14" s="14"/>
      <c r="K14" s="14"/>
      <c r="L14" s="14"/>
      <c r="M14" s="14"/>
      <c r="N14" s="14"/>
      <c r="O14" s="428"/>
      <c r="P14" s="14"/>
      <c r="Q14" s="14"/>
      <c r="R14" s="14"/>
      <c r="S14" s="14"/>
      <c r="T14" s="14"/>
      <c r="U14" s="14"/>
      <c r="V14" s="428"/>
      <c r="W14" s="14"/>
      <c r="X14" s="14"/>
      <c r="Y14" s="14"/>
      <c r="Z14" s="14"/>
      <c r="AA14" s="14"/>
      <c r="AB14" s="14"/>
      <c r="AC14" s="14"/>
      <c r="AD14" s="428"/>
      <c r="AE14" s="14"/>
      <c r="AF14" s="14"/>
      <c r="AG14" s="14"/>
      <c r="AH14" s="14"/>
      <c r="AI14" s="14"/>
      <c r="AJ14" s="14"/>
    </row>
    <row r="15" spans="1:38" ht="13" hidden="1" customHeight="1" x14ac:dyDescent="0.15">
      <c r="A15" t="str">
        <f>Nutrients!B15</f>
        <v>Blood Meal</v>
      </c>
      <c r="B15" s="14"/>
      <c r="C15" s="14"/>
      <c r="D15" s="14"/>
      <c r="E15" s="14"/>
      <c r="F15" s="14"/>
      <c r="G15" s="14"/>
      <c r="H15" s="428"/>
      <c r="I15" s="14"/>
      <c r="J15" s="14"/>
      <c r="K15" s="14"/>
      <c r="L15" s="14"/>
      <c r="M15" s="14"/>
      <c r="N15" s="14"/>
      <c r="O15" s="428"/>
      <c r="P15" s="14"/>
      <c r="Q15" s="14"/>
      <c r="R15" s="14"/>
      <c r="S15" s="14"/>
      <c r="T15" s="14"/>
      <c r="U15" s="14"/>
      <c r="V15" s="428"/>
      <c r="W15" s="14"/>
      <c r="X15" s="14"/>
      <c r="Y15" s="14"/>
      <c r="Z15" s="14"/>
      <c r="AA15" s="14"/>
      <c r="AB15" s="14"/>
      <c r="AC15" s="14"/>
      <c r="AD15" s="428"/>
      <c r="AE15" s="14"/>
      <c r="AF15" s="14"/>
      <c r="AG15" s="14"/>
      <c r="AH15" s="14"/>
      <c r="AI15" s="14"/>
      <c r="AJ15" s="14"/>
    </row>
    <row r="16" spans="1:38" ht="13" hidden="1" customHeight="1" x14ac:dyDescent="0.15">
      <c r="A16" t="str">
        <f>Nutrients!B16</f>
        <v>Blood Plasma</v>
      </c>
      <c r="B16" s="14"/>
      <c r="C16" s="14"/>
      <c r="D16" s="14"/>
      <c r="E16" s="14"/>
      <c r="F16" s="14"/>
      <c r="G16" s="14"/>
      <c r="H16" s="428"/>
      <c r="I16" s="14"/>
      <c r="J16" s="14"/>
      <c r="K16" s="14"/>
      <c r="L16" s="14"/>
      <c r="M16" s="14"/>
      <c r="N16" s="14"/>
      <c r="O16" s="428"/>
      <c r="P16" s="14"/>
      <c r="Q16" s="14"/>
      <c r="R16" s="14"/>
      <c r="S16" s="14"/>
      <c r="T16" s="14"/>
      <c r="U16" s="14"/>
      <c r="V16" s="428"/>
      <c r="W16" s="14"/>
      <c r="X16" s="14"/>
      <c r="Y16" s="14"/>
      <c r="Z16" s="14"/>
      <c r="AA16" s="14"/>
      <c r="AB16" s="14"/>
      <c r="AC16" s="14"/>
      <c r="AD16" s="428"/>
      <c r="AE16" s="14"/>
      <c r="AF16" s="14"/>
      <c r="AG16" s="14"/>
      <c r="AH16" s="14"/>
      <c r="AI16" s="14"/>
      <c r="AJ16" s="14"/>
    </row>
    <row r="17" spans="1:38" ht="13" hidden="1" customHeight="1" x14ac:dyDescent="0.15">
      <c r="A17" t="str">
        <f>Nutrients!B17</f>
        <v>Brewers Grain</v>
      </c>
      <c r="B17" s="14"/>
      <c r="C17" s="14"/>
      <c r="D17" s="14"/>
      <c r="E17" s="14"/>
      <c r="F17" s="14"/>
      <c r="G17" s="14"/>
      <c r="H17" s="428"/>
      <c r="I17" s="14"/>
      <c r="J17" s="14"/>
      <c r="K17" s="14"/>
      <c r="L17" s="14"/>
      <c r="M17" s="14"/>
      <c r="N17" s="14"/>
      <c r="O17" s="428"/>
      <c r="P17" s="14"/>
      <c r="Q17" s="14"/>
      <c r="R17" s="14"/>
      <c r="S17" s="14"/>
      <c r="T17" s="14"/>
      <c r="U17" s="14"/>
      <c r="V17" s="428"/>
      <c r="W17" s="14"/>
      <c r="X17" s="14"/>
      <c r="Y17" s="14"/>
      <c r="Z17" s="14"/>
      <c r="AA17" s="14"/>
      <c r="AB17" s="14"/>
      <c r="AC17" s="14"/>
      <c r="AD17" s="428"/>
      <c r="AE17" s="14"/>
      <c r="AF17" s="14"/>
      <c r="AG17" s="14"/>
      <c r="AH17" s="14"/>
      <c r="AI17" s="14"/>
      <c r="AJ17" s="14"/>
    </row>
    <row r="18" spans="1:38" ht="13" hidden="1" customHeight="1" x14ac:dyDescent="0.15">
      <c r="A18" t="str">
        <f>Nutrients!B18</f>
        <v>Canola, Full Fat</v>
      </c>
      <c r="B18" s="14"/>
      <c r="C18" s="14"/>
      <c r="D18" s="14"/>
      <c r="E18" s="14"/>
      <c r="F18" s="14"/>
      <c r="G18" s="14"/>
      <c r="H18" s="428"/>
      <c r="I18" s="14"/>
      <c r="J18" s="14"/>
      <c r="K18" s="14"/>
      <c r="L18" s="14"/>
      <c r="M18" s="14"/>
      <c r="N18" s="14"/>
      <c r="O18" s="428"/>
      <c r="P18" s="14"/>
      <c r="Q18" s="14"/>
      <c r="R18" s="14"/>
      <c r="S18" s="14"/>
      <c r="T18" s="14"/>
      <c r="U18" s="14"/>
      <c r="V18" s="428"/>
      <c r="W18" s="14"/>
      <c r="X18" s="14"/>
      <c r="Y18" s="14"/>
      <c r="Z18" s="14"/>
      <c r="AA18" s="14"/>
      <c r="AB18" s="14"/>
      <c r="AC18" s="14"/>
      <c r="AD18" s="428"/>
      <c r="AE18" s="14"/>
      <c r="AF18" s="14"/>
      <c r="AG18" s="14"/>
      <c r="AH18" s="14"/>
      <c r="AI18" s="14"/>
      <c r="AJ18" s="14"/>
    </row>
    <row r="19" spans="1:38" ht="13" hidden="1" customHeight="1" x14ac:dyDescent="0.15">
      <c r="A19" t="str">
        <f>Nutrients!B19</f>
        <v>Canola Meal, Expelled</v>
      </c>
      <c r="B19" s="14"/>
      <c r="C19" s="14"/>
      <c r="D19" s="14"/>
      <c r="E19" s="14"/>
      <c r="F19" s="14"/>
      <c r="G19" s="14"/>
      <c r="H19" s="428"/>
      <c r="I19" s="14"/>
      <c r="J19" s="14"/>
      <c r="K19" s="14"/>
      <c r="L19" s="14"/>
      <c r="M19" s="14"/>
      <c r="N19" s="14"/>
      <c r="O19" s="428"/>
      <c r="P19" s="14"/>
      <c r="Q19" s="14"/>
      <c r="R19" s="14"/>
      <c r="S19" s="14"/>
      <c r="T19" s="14"/>
      <c r="U19" s="14"/>
      <c r="V19" s="428"/>
      <c r="W19" s="14"/>
      <c r="X19" s="14"/>
      <c r="Y19" s="14"/>
      <c r="Z19" s="14"/>
      <c r="AA19" s="14"/>
      <c r="AB19" s="14"/>
      <c r="AC19" s="14"/>
      <c r="AD19" s="428"/>
      <c r="AE19" s="14"/>
      <c r="AF19" s="14"/>
      <c r="AG19" s="14"/>
      <c r="AH19" s="14"/>
      <c r="AI19" s="14"/>
      <c r="AJ19" s="14"/>
    </row>
    <row r="20" spans="1:38" ht="13" hidden="1" customHeight="1" x14ac:dyDescent="0.15">
      <c r="A20" t="str">
        <f>Nutrients!B20</f>
        <v>Canola Meal, Solvent Extracted</v>
      </c>
      <c r="B20" s="14"/>
      <c r="C20" s="14"/>
      <c r="D20" s="14"/>
      <c r="E20" s="14"/>
      <c r="F20" s="14"/>
      <c r="G20" s="14"/>
      <c r="H20" s="428"/>
      <c r="I20" s="14"/>
      <c r="J20" s="14"/>
      <c r="K20" s="14"/>
      <c r="L20" s="14"/>
      <c r="M20" s="14"/>
      <c r="N20" s="14"/>
      <c r="O20" s="428"/>
      <c r="P20" s="14"/>
      <c r="Q20" s="14"/>
      <c r="R20" s="14"/>
      <c r="S20" s="14"/>
      <c r="T20" s="14"/>
      <c r="U20" s="14"/>
      <c r="V20" s="428"/>
      <c r="W20" s="14"/>
      <c r="X20" s="14"/>
      <c r="Y20" s="14"/>
      <c r="Z20" s="14"/>
      <c r="AA20" s="14"/>
      <c r="AB20" s="14"/>
      <c r="AC20" s="14"/>
      <c r="AD20" s="428"/>
      <c r="AE20" s="14"/>
      <c r="AF20" s="14"/>
      <c r="AG20" s="14"/>
      <c r="AH20" s="14"/>
      <c r="AI20" s="14"/>
      <c r="AJ20" s="14"/>
    </row>
    <row r="21" spans="1:38" ht="13" hidden="1" customHeight="1" x14ac:dyDescent="0.15">
      <c r="A21" t="str">
        <f>Nutrients!B21</f>
        <v>Casava Meal</v>
      </c>
      <c r="B21" s="14"/>
      <c r="C21" s="14"/>
      <c r="D21" s="14"/>
      <c r="E21" s="14"/>
      <c r="F21" s="14"/>
      <c r="G21" s="14"/>
      <c r="H21" s="428"/>
      <c r="I21" s="14"/>
      <c r="J21" s="14"/>
      <c r="K21" s="14"/>
      <c r="L21" s="14"/>
      <c r="M21" s="14"/>
      <c r="N21" s="14"/>
      <c r="O21" s="428"/>
      <c r="P21" s="14"/>
      <c r="Q21" s="14"/>
      <c r="R21" s="14"/>
      <c r="S21" s="14"/>
      <c r="T21" s="14"/>
      <c r="U21" s="14"/>
      <c r="V21" s="428"/>
      <c r="W21" s="14"/>
      <c r="X21" s="14"/>
      <c r="Y21" s="14"/>
      <c r="Z21" s="14"/>
      <c r="AA21" s="14"/>
      <c r="AB21" s="14"/>
      <c r="AC21" s="14"/>
      <c r="AD21" s="428"/>
      <c r="AE21" s="14"/>
      <c r="AF21" s="14"/>
      <c r="AG21" s="14"/>
      <c r="AH21" s="14"/>
      <c r="AI21" s="14"/>
      <c r="AJ21" s="14"/>
    </row>
    <row r="22" spans="1:38" ht="13" hidden="1" customHeight="1" x14ac:dyDescent="0.15">
      <c r="A22" t="str">
        <f>Nutrients!B22</f>
        <v>Citrus Pulp</v>
      </c>
      <c r="B22" s="14"/>
      <c r="C22" s="14"/>
      <c r="D22" s="14"/>
      <c r="E22" s="14"/>
      <c r="F22" s="14"/>
      <c r="G22" s="14"/>
      <c r="H22" s="428"/>
      <c r="I22" s="14"/>
      <c r="J22" s="14"/>
      <c r="K22" s="14"/>
      <c r="L22" s="14"/>
      <c r="M22" s="14"/>
      <c r="N22" s="14"/>
      <c r="O22" s="428"/>
      <c r="P22" s="14"/>
      <c r="Q22" s="14"/>
      <c r="R22" s="14"/>
      <c r="S22" s="14"/>
      <c r="T22" s="14"/>
      <c r="U22" s="14"/>
      <c r="V22" s="428"/>
      <c r="W22" s="14"/>
      <c r="X22" s="14"/>
      <c r="Y22" s="14"/>
      <c r="Z22" s="14"/>
      <c r="AA22" s="14"/>
      <c r="AB22" s="14"/>
      <c r="AC22" s="14"/>
      <c r="AD22" s="428"/>
      <c r="AE22" s="14"/>
      <c r="AF22" s="14"/>
      <c r="AG22" s="14"/>
      <c r="AH22" s="14"/>
      <c r="AI22" s="14"/>
      <c r="AJ22" s="14"/>
    </row>
    <row r="23" spans="1:38" ht="13" hidden="1" customHeight="1" x14ac:dyDescent="0.15">
      <c r="A23" t="str">
        <f>Nutrients!B23</f>
        <v>Copra Meal</v>
      </c>
      <c r="B23" s="14"/>
      <c r="C23" s="14"/>
      <c r="D23" s="14"/>
      <c r="E23" s="14"/>
      <c r="F23" s="14"/>
      <c r="G23" s="14"/>
      <c r="H23" s="428"/>
      <c r="I23" s="14"/>
      <c r="J23" s="14"/>
      <c r="K23" s="14"/>
      <c r="L23" s="14"/>
      <c r="M23" s="14"/>
      <c r="N23" s="14"/>
      <c r="O23" s="428"/>
      <c r="P23" s="14"/>
      <c r="Q23" s="14"/>
      <c r="R23" s="14"/>
      <c r="S23" s="14"/>
      <c r="T23" s="14"/>
      <c r="U23" s="14"/>
      <c r="V23" s="428"/>
      <c r="W23" s="14"/>
      <c r="X23" s="14"/>
      <c r="Y23" s="14"/>
      <c r="Z23" s="14"/>
      <c r="AA23" s="14"/>
      <c r="AB23" s="14"/>
      <c r="AC23" s="14"/>
      <c r="AD23" s="428"/>
      <c r="AE23" s="14"/>
      <c r="AF23" s="14"/>
      <c r="AG23" s="14"/>
      <c r="AH23" s="14"/>
      <c r="AI23" s="14"/>
      <c r="AJ23" s="14"/>
    </row>
    <row r="24" spans="1:38" ht="13" hidden="1" customHeight="1" x14ac:dyDescent="0.15">
      <c r="A24" t="str">
        <f>Nutrients!B24</f>
        <v>Corn, Yellow Dent</v>
      </c>
      <c r="B24" s="14"/>
      <c r="C24" s="14"/>
      <c r="D24" s="14"/>
      <c r="E24" s="14"/>
      <c r="F24" s="14"/>
      <c r="G24" s="14"/>
      <c r="H24" s="428"/>
      <c r="I24" s="14"/>
      <c r="J24" s="14"/>
      <c r="K24" s="14"/>
      <c r="L24" s="14"/>
      <c r="M24" s="14"/>
      <c r="N24" s="14"/>
      <c r="O24" s="428"/>
      <c r="P24" s="14"/>
      <c r="Q24" s="14"/>
      <c r="R24" s="14"/>
      <c r="S24" s="14"/>
      <c r="T24" s="14"/>
      <c r="U24" s="14"/>
      <c r="V24" s="428"/>
      <c r="W24" s="14"/>
      <c r="X24" s="14"/>
      <c r="Y24" s="14"/>
      <c r="Z24" s="14"/>
      <c r="AA24" s="14"/>
      <c r="AB24" s="14"/>
      <c r="AC24" s="14"/>
      <c r="AD24" s="428"/>
      <c r="AE24" s="14"/>
      <c r="AF24" s="14"/>
      <c r="AG24" s="14"/>
      <c r="AH24" s="14"/>
      <c r="AI24" s="14"/>
      <c r="AJ24" s="14"/>
    </row>
    <row r="25" spans="1:38" ht="13" hidden="1" customHeight="1" x14ac:dyDescent="0.15">
      <c r="A25" t="str">
        <f>Nutrients!B25</f>
        <v>Corn, Nutridense</v>
      </c>
      <c r="B25" s="14"/>
      <c r="C25" s="14"/>
      <c r="D25" s="14"/>
      <c r="E25" s="14"/>
      <c r="F25" s="14"/>
      <c r="G25" s="14"/>
      <c r="H25" s="428"/>
      <c r="I25" s="14"/>
      <c r="J25" s="14"/>
      <c r="K25" s="14"/>
      <c r="L25" s="14"/>
      <c r="M25" s="14"/>
      <c r="N25" s="14"/>
      <c r="O25" s="428"/>
      <c r="P25" s="14"/>
      <c r="Q25" s="14"/>
      <c r="R25" s="14"/>
      <c r="S25" s="14"/>
      <c r="T25" s="14"/>
      <c r="U25" s="14"/>
      <c r="V25" s="428"/>
      <c r="W25" s="14"/>
      <c r="X25" s="14"/>
      <c r="Y25" s="14"/>
      <c r="Z25" s="14"/>
      <c r="AA25" s="14"/>
      <c r="AB25" s="14"/>
      <c r="AC25" s="14"/>
      <c r="AD25" s="428"/>
      <c r="AE25" s="14"/>
      <c r="AF25" s="14"/>
      <c r="AG25" s="14"/>
      <c r="AH25" s="14"/>
      <c r="AI25" s="14"/>
      <c r="AJ25" s="14"/>
    </row>
    <row r="26" spans="1:38" ht="13" hidden="1" customHeight="1" x14ac:dyDescent="0.15">
      <c r="A26" t="str">
        <f>Nutrients!B26</f>
        <v>Corn Bran</v>
      </c>
      <c r="B26" s="14"/>
      <c r="C26" s="14"/>
      <c r="D26" s="14"/>
      <c r="E26" s="14"/>
      <c r="F26" s="14"/>
      <c r="G26" s="14"/>
      <c r="H26" s="428"/>
      <c r="I26" s="14"/>
      <c r="J26" s="14"/>
      <c r="K26" s="14"/>
      <c r="L26" s="14"/>
      <c r="M26" s="14"/>
      <c r="N26" s="14"/>
      <c r="O26" s="428"/>
      <c r="P26" s="14"/>
      <c r="Q26" s="14"/>
      <c r="R26" s="14"/>
      <c r="S26" s="14"/>
      <c r="T26" s="14"/>
      <c r="U26" s="14"/>
      <c r="V26" s="428"/>
      <c r="W26" s="14"/>
      <c r="X26" s="14"/>
      <c r="Y26" s="14"/>
      <c r="Z26" s="14"/>
      <c r="AA26" s="14"/>
      <c r="AB26" s="14"/>
      <c r="AC26" s="14"/>
      <c r="AD26" s="428"/>
      <c r="AE26" s="14"/>
      <c r="AF26" s="14"/>
      <c r="AG26" s="14"/>
      <c r="AH26" s="14"/>
      <c r="AI26" s="14"/>
      <c r="AJ26" s="14"/>
    </row>
    <row r="27" spans="1:38" ht="13" hidden="1" customHeight="1" x14ac:dyDescent="0.15">
      <c r="A27" t="str">
        <f>Nutrients!B27</f>
        <v>Corn DDG</v>
      </c>
      <c r="B27" s="14"/>
      <c r="C27" s="14"/>
      <c r="D27" s="14"/>
      <c r="E27" s="14"/>
      <c r="F27" s="14"/>
      <c r="G27" s="14"/>
      <c r="H27" s="428"/>
      <c r="I27" s="14"/>
      <c r="J27" s="14"/>
      <c r="K27" s="14"/>
      <c r="L27" s="14"/>
      <c r="M27" s="14"/>
      <c r="N27" s="14"/>
      <c r="O27" s="428"/>
      <c r="P27" s="14"/>
      <c r="Q27" s="14"/>
      <c r="R27" s="14"/>
      <c r="S27" s="14"/>
      <c r="T27" s="14"/>
      <c r="U27" s="14"/>
      <c r="V27" s="428"/>
      <c r="W27" s="14"/>
      <c r="X27" s="14"/>
      <c r="Y27" s="14"/>
      <c r="Z27" s="14"/>
      <c r="AA27" s="14"/>
      <c r="AB27" s="14"/>
      <c r="AC27" s="14"/>
      <c r="AD27" s="428"/>
      <c r="AE27" s="14"/>
      <c r="AF27" s="14"/>
      <c r="AG27" s="14"/>
      <c r="AH27" s="14"/>
      <c r="AI27" s="14"/>
      <c r="AJ27" s="14"/>
    </row>
    <row r="28" spans="1:38" ht="13" hidden="1" customHeight="1" x14ac:dyDescent="0.15">
      <c r="A28" t="str">
        <f>Nutrients!B28</f>
        <v>Corn DDGS, &gt;10% Oil</v>
      </c>
      <c r="B28" s="14"/>
      <c r="C28" s="14"/>
      <c r="D28" s="14"/>
      <c r="E28" s="14"/>
      <c r="F28" s="14"/>
      <c r="G28" s="14"/>
      <c r="H28" s="428"/>
      <c r="I28" s="14"/>
      <c r="J28" s="14"/>
      <c r="K28" s="14"/>
      <c r="L28" s="14"/>
      <c r="M28" s="14"/>
      <c r="N28" s="14"/>
      <c r="O28" s="428"/>
      <c r="P28" s="14"/>
      <c r="Q28" s="14"/>
      <c r="R28" s="14"/>
      <c r="S28" s="14"/>
      <c r="T28" s="14"/>
      <c r="U28" s="14"/>
      <c r="V28" s="428"/>
      <c r="W28" s="14"/>
      <c r="X28" s="14"/>
      <c r="Y28" s="14"/>
      <c r="Z28" s="14"/>
      <c r="AA28" s="14"/>
      <c r="AB28" s="14"/>
      <c r="AC28" s="14"/>
      <c r="AD28" s="428"/>
      <c r="AE28" s="14"/>
      <c r="AF28" s="14"/>
      <c r="AG28" s="14"/>
      <c r="AH28" s="14"/>
      <c r="AI28" s="14"/>
      <c r="AJ28" s="14"/>
    </row>
    <row r="29" spans="1:38" ht="13" hidden="1" customHeight="1" x14ac:dyDescent="0.15">
      <c r="A29" t="str">
        <f>Nutrients!B29</f>
        <v>Corn DDGS, &gt;6 and &lt;9% Oil</v>
      </c>
      <c r="B29" s="14"/>
      <c r="C29" s="14"/>
      <c r="D29" s="14"/>
      <c r="E29" s="14"/>
      <c r="F29" s="14"/>
      <c r="G29" s="14"/>
      <c r="H29" s="428"/>
      <c r="I29" s="14"/>
      <c r="J29" s="14"/>
      <c r="K29" s="14"/>
      <c r="L29" s="14"/>
      <c r="M29" s="14"/>
      <c r="N29" s="14"/>
      <c r="O29" s="428"/>
      <c r="P29" s="14"/>
      <c r="Q29" s="14"/>
      <c r="R29" s="14"/>
      <c r="S29" s="14"/>
      <c r="T29" s="14"/>
      <c r="U29" s="14"/>
      <c r="V29" s="428"/>
      <c r="W29" s="14"/>
      <c r="X29" s="14"/>
      <c r="Y29" s="14"/>
      <c r="Z29" s="14"/>
      <c r="AA29" s="14"/>
      <c r="AB29" s="14"/>
      <c r="AC29" s="14"/>
      <c r="AD29" s="428"/>
      <c r="AE29" s="14"/>
      <c r="AF29" s="14"/>
      <c r="AG29" s="14"/>
      <c r="AH29" s="14"/>
      <c r="AI29" s="14"/>
      <c r="AJ29" s="14"/>
    </row>
    <row r="30" spans="1:38" ht="13" hidden="1" customHeight="1" x14ac:dyDescent="0.15">
      <c r="A30" t="str">
        <f>Nutrients!B30</f>
        <v>Corn DDGS, &lt;4% Oil</v>
      </c>
      <c r="B30" s="14"/>
      <c r="C30" s="14"/>
      <c r="D30" s="14"/>
      <c r="E30" s="14"/>
      <c r="F30" s="14"/>
      <c r="G30" s="14"/>
      <c r="H30" s="428"/>
      <c r="I30" s="14"/>
      <c r="J30" s="14"/>
      <c r="K30" s="14"/>
      <c r="L30" s="14"/>
      <c r="M30" s="14"/>
      <c r="N30" s="14"/>
      <c r="O30" s="428"/>
      <c r="P30" s="14"/>
      <c r="Q30" s="14"/>
      <c r="R30" s="14"/>
      <c r="S30" s="14"/>
      <c r="T30" s="14"/>
      <c r="U30" s="14"/>
      <c r="V30" s="428"/>
      <c r="W30" s="14"/>
      <c r="X30" s="14"/>
      <c r="Y30" s="14"/>
      <c r="Z30" s="14"/>
      <c r="AA30" s="14"/>
      <c r="AB30" s="14"/>
      <c r="AC30" s="14"/>
      <c r="AD30" s="428"/>
      <c r="AE30" s="14"/>
      <c r="AF30" s="14"/>
      <c r="AG30" s="14"/>
      <c r="AH30" s="14"/>
      <c r="AI30" s="14"/>
      <c r="AJ30" s="14"/>
    </row>
    <row r="31" spans="1:38" ht="13" hidden="1" customHeight="1" x14ac:dyDescent="0.15">
      <c r="A31" t="str">
        <f>Nutrients!B31</f>
        <v>Corn HP DDG</v>
      </c>
      <c r="B31" s="14"/>
      <c r="C31" s="14"/>
      <c r="D31" s="14"/>
      <c r="E31" s="14"/>
      <c r="F31" s="14"/>
      <c r="G31" s="14"/>
      <c r="H31" s="428"/>
      <c r="I31" s="14"/>
      <c r="J31" s="14"/>
      <c r="K31" s="14"/>
      <c r="L31" s="14"/>
      <c r="M31" s="14"/>
      <c r="N31" s="14"/>
      <c r="O31" s="428"/>
      <c r="P31" s="14"/>
      <c r="Q31" s="14"/>
      <c r="R31" s="14"/>
      <c r="S31" s="14"/>
      <c r="T31" s="14"/>
      <c r="U31" s="14"/>
      <c r="V31" s="428"/>
      <c r="W31" s="14"/>
      <c r="X31" s="14"/>
      <c r="Y31" s="14"/>
      <c r="Z31" s="14"/>
      <c r="AA31" s="14"/>
      <c r="AB31" s="14"/>
      <c r="AC31" s="14"/>
      <c r="AD31" s="428"/>
      <c r="AE31" s="14"/>
      <c r="AF31" s="14"/>
      <c r="AG31" s="14"/>
      <c r="AH31" s="14"/>
      <c r="AI31" s="14"/>
      <c r="AJ31" s="14"/>
    </row>
    <row r="32" spans="1:38" ht="13" hidden="1" customHeight="1" x14ac:dyDescent="0.15">
      <c r="A32" t="str">
        <f>Nutrients!B32</f>
        <v>Corn Germ</v>
      </c>
      <c r="B32" s="14"/>
      <c r="C32" s="14"/>
      <c r="D32" s="14"/>
      <c r="E32" s="14"/>
      <c r="F32" s="14"/>
      <c r="G32" s="14"/>
      <c r="H32" s="428"/>
      <c r="I32" s="14"/>
      <c r="J32" s="14"/>
      <c r="K32" s="14"/>
      <c r="L32" s="14"/>
      <c r="M32" s="14"/>
      <c r="N32" s="14"/>
      <c r="O32" s="428"/>
      <c r="P32" s="14"/>
      <c r="Q32" s="14"/>
      <c r="R32" s="14"/>
      <c r="S32" s="14"/>
      <c r="T32" s="14"/>
      <c r="U32" s="14"/>
      <c r="V32" s="428"/>
      <c r="W32" s="14"/>
      <c r="X32" s="14"/>
      <c r="Y32" s="14"/>
      <c r="Z32" s="14"/>
      <c r="AA32" s="14"/>
      <c r="AB32" s="14"/>
      <c r="AC32" s="14"/>
      <c r="AD32" s="428"/>
      <c r="AE32" s="14"/>
      <c r="AF32" s="14"/>
      <c r="AG32" s="14"/>
      <c r="AH32" s="14"/>
      <c r="AI32" s="14"/>
      <c r="AJ32" s="14"/>
      <c r="AK32" s="14"/>
      <c r="AL32" s="14"/>
    </row>
    <row r="33" spans="1:36" ht="13" hidden="1" customHeight="1" x14ac:dyDescent="0.15">
      <c r="A33" t="str">
        <f>Nutrients!B33</f>
        <v>Corn Germ Meal</v>
      </c>
      <c r="B33" s="14"/>
      <c r="C33" s="14"/>
      <c r="D33" s="14"/>
      <c r="E33" s="14"/>
      <c r="F33" s="14"/>
      <c r="G33" s="14"/>
      <c r="H33" s="428"/>
      <c r="I33" s="14"/>
      <c r="J33" s="14"/>
      <c r="K33" s="14"/>
      <c r="L33" s="14"/>
      <c r="M33" s="14"/>
      <c r="N33" s="14"/>
      <c r="O33" s="428"/>
      <c r="P33" s="14"/>
      <c r="Q33" s="14"/>
      <c r="R33" s="14"/>
      <c r="S33" s="14"/>
      <c r="T33" s="14"/>
      <c r="U33" s="14"/>
      <c r="V33" s="428"/>
      <c r="W33" s="14"/>
      <c r="X33" s="14"/>
      <c r="Y33" s="14"/>
      <c r="Z33" s="14"/>
      <c r="AA33" s="14"/>
      <c r="AB33" s="14"/>
      <c r="AC33" s="14"/>
      <c r="AD33" s="428"/>
      <c r="AE33" s="14"/>
      <c r="AF33" s="14"/>
      <c r="AG33" s="14"/>
      <c r="AH33" s="14"/>
      <c r="AI33" s="14"/>
      <c r="AJ33" s="14"/>
    </row>
    <row r="34" spans="1:36" ht="13" hidden="1" customHeight="1" x14ac:dyDescent="0.15">
      <c r="A34" t="str">
        <f>Nutrients!B34</f>
        <v>Corn Gluten Feed</v>
      </c>
      <c r="B34" s="14"/>
      <c r="C34" s="14"/>
      <c r="D34" s="14"/>
      <c r="E34" s="14"/>
      <c r="F34" s="14"/>
      <c r="G34" s="14"/>
      <c r="H34" s="428"/>
      <c r="I34" s="14"/>
      <c r="J34" s="14"/>
      <c r="K34" s="14"/>
      <c r="L34" s="14"/>
      <c r="M34" s="14"/>
      <c r="N34" s="14"/>
      <c r="O34" s="428"/>
      <c r="P34" s="14"/>
      <c r="Q34" s="14"/>
      <c r="R34" s="14"/>
      <c r="S34" s="14"/>
      <c r="T34" s="14"/>
      <c r="U34" s="14"/>
      <c r="V34" s="428"/>
      <c r="W34" s="14"/>
      <c r="X34" s="14"/>
      <c r="Y34" s="14"/>
      <c r="Z34" s="14"/>
      <c r="AA34" s="14"/>
      <c r="AB34" s="14"/>
      <c r="AC34" s="14"/>
      <c r="AD34" s="428"/>
      <c r="AE34" s="14"/>
      <c r="AF34" s="14"/>
      <c r="AG34" s="14"/>
      <c r="AH34" s="14"/>
      <c r="AI34" s="14"/>
      <c r="AJ34" s="14"/>
    </row>
    <row r="35" spans="1:36" ht="13" hidden="1" customHeight="1" x14ac:dyDescent="0.15">
      <c r="A35" t="str">
        <f>Nutrients!B35</f>
        <v>Corn Gluten Meal</v>
      </c>
      <c r="B35" s="14"/>
      <c r="C35" s="14"/>
      <c r="D35" s="14"/>
      <c r="E35" s="14"/>
      <c r="F35" s="14"/>
      <c r="G35" s="14"/>
      <c r="H35" s="428"/>
      <c r="I35" s="14"/>
      <c r="J35" s="14"/>
      <c r="K35" s="14"/>
      <c r="L35" s="14"/>
      <c r="M35" s="14"/>
      <c r="N35" s="14"/>
      <c r="O35" s="428"/>
      <c r="P35" s="14"/>
      <c r="Q35" s="14"/>
      <c r="R35" s="14"/>
      <c r="S35" s="14"/>
      <c r="T35" s="14"/>
      <c r="U35" s="14"/>
      <c r="V35" s="428"/>
      <c r="W35" s="14"/>
      <c r="X35" s="14"/>
      <c r="Y35" s="14"/>
      <c r="Z35" s="14"/>
      <c r="AA35" s="14"/>
      <c r="AB35" s="14"/>
      <c r="AC35" s="14"/>
      <c r="AD35" s="428"/>
      <c r="AE35" s="14"/>
      <c r="AF35" s="14"/>
      <c r="AG35" s="14"/>
      <c r="AH35" s="14"/>
      <c r="AI35" s="14"/>
      <c r="AJ35" s="14"/>
    </row>
    <row r="36" spans="1:36" ht="13" hidden="1" customHeight="1" x14ac:dyDescent="0.15">
      <c r="A36" t="str">
        <f>Nutrients!B36</f>
        <v>Corn Grits, Hominy Feed</v>
      </c>
      <c r="B36" s="14"/>
      <c r="C36" s="14"/>
      <c r="D36" s="14"/>
      <c r="E36" s="14"/>
      <c r="F36" s="14"/>
      <c r="G36" s="14"/>
      <c r="H36" s="428"/>
      <c r="I36" s="14"/>
      <c r="J36" s="14"/>
      <c r="K36" s="14"/>
      <c r="L36" s="14"/>
      <c r="M36" s="14"/>
      <c r="N36" s="14"/>
      <c r="O36" s="428"/>
      <c r="P36" s="14"/>
      <c r="Q36" s="14"/>
      <c r="R36" s="14"/>
      <c r="S36" s="14"/>
      <c r="T36" s="14"/>
      <c r="U36" s="14"/>
      <c r="V36" s="428"/>
      <c r="W36" s="14"/>
      <c r="X36" s="14"/>
      <c r="Y36" s="14"/>
      <c r="Z36" s="14"/>
      <c r="AA36" s="14"/>
      <c r="AB36" s="14"/>
      <c r="AC36" s="14"/>
      <c r="AD36" s="428"/>
      <c r="AE36" s="14"/>
      <c r="AF36" s="14"/>
      <c r="AG36" s="14"/>
      <c r="AH36" s="14"/>
      <c r="AI36" s="14"/>
      <c r="AJ36" s="14"/>
    </row>
    <row r="37" spans="1:36" ht="13" hidden="1" customHeight="1" x14ac:dyDescent="0.15">
      <c r="A37" t="str">
        <f>Nutrients!B37</f>
        <v>Cotton Seeds, Fullfat</v>
      </c>
      <c r="B37" s="14"/>
      <c r="C37" s="14"/>
      <c r="D37" s="14"/>
      <c r="E37" s="14"/>
      <c r="F37" s="14"/>
      <c r="G37" s="14"/>
      <c r="H37" s="428"/>
      <c r="I37" s="14"/>
      <c r="J37" s="14"/>
      <c r="K37" s="14"/>
      <c r="L37" s="14"/>
      <c r="M37" s="14"/>
      <c r="N37" s="14"/>
      <c r="O37" s="428"/>
      <c r="P37" s="14"/>
      <c r="Q37" s="14"/>
      <c r="R37" s="14"/>
      <c r="S37" s="14"/>
      <c r="T37" s="14"/>
      <c r="U37" s="14"/>
      <c r="V37" s="428"/>
      <c r="W37" s="14"/>
      <c r="X37" s="14"/>
      <c r="Y37" s="14"/>
      <c r="Z37" s="14"/>
      <c r="AA37" s="14"/>
      <c r="AB37" s="14"/>
      <c r="AC37" s="14"/>
      <c r="AD37" s="428"/>
      <c r="AE37" s="14"/>
      <c r="AF37" s="14"/>
      <c r="AG37" s="14"/>
      <c r="AH37" s="14"/>
      <c r="AI37" s="14"/>
      <c r="AJ37" s="14"/>
    </row>
    <row r="38" spans="1:36" ht="13" hidden="1" customHeight="1" x14ac:dyDescent="0.15">
      <c r="A38" t="str">
        <f>Nutrients!B38</f>
        <v>Cotton Seed Meal</v>
      </c>
      <c r="B38" s="14"/>
      <c r="C38" s="14"/>
      <c r="D38" s="14"/>
      <c r="E38" s="14"/>
      <c r="F38" s="14"/>
      <c r="G38" s="14"/>
      <c r="H38" s="428"/>
      <c r="I38" s="14"/>
      <c r="J38" s="14"/>
      <c r="K38" s="14"/>
      <c r="L38" s="14"/>
      <c r="M38" s="14"/>
      <c r="N38" s="14"/>
      <c r="O38" s="428"/>
      <c r="P38" s="14"/>
      <c r="Q38" s="14"/>
      <c r="R38" s="14"/>
      <c r="S38" s="14"/>
      <c r="T38" s="14"/>
      <c r="U38" s="14"/>
      <c r="V38" s="428"/>
      <c r="W38" s="14"/>
      <c r="X38" s="14"/>
      <c r="Y38" s="14"/>
      <c r="Z38" s="14"/>
      <c r="AA38" s="14"/>
      <c r="AB38" s="14"/>
      <c r="AC38" s="14"/>
      <c r="AD38" s="428"/>
      <c r="AE38" s="14"/>
      <c r="AF38" s="14"/>
      <c r="AG38" s="14"/>
      <c r="AH38" s="14"/>
      <c r="AI38" s="14"/>
      <c r="AJ38" s="14"/>
    </row>
    <row r="39" spans="1:36" ht="13" hidden="1" customHeight="1" x14ac:dyDescent="0.15">
      <c r="A39" t="str">
        <f>Nutrients!B39</f>
        <v>Feather Meal</v>
      </c>
      <c r="B39" s="14"/>
      <c r="C39" s="14"/>
      <c r="D39" s="14"/>
      <c r="E39" s="14"/>
      <c r="F39" s="14"/>
      <c r="G39" s="14"/>
      <c r="H39" s="428"/>
      <c r="I39" s="14"/>
      <c r="J39" s="14"/>
      <c r="K39" s="14"/>
      <c r="L39" s="14"/>
      <c r="M39" s="14"/>
      <c r="N39" s="14"/>
      <c r="O39" s="428"/>
      <c r="P39" s="14"/>
      <c r="Q39" s="14"/>
      <c r="R39" s="14"/>
      <c r="S39" s="14"/>
      <c r="T39" s="14"/>
      <c r="U39" s="14"/>
      <c r="V39" s="428"/>
      <c r="W39" s="14"/>
      <c r="X39" s="14"/>
      <c r="Y39" s="14"/>
      <c r="Z39" s="14"/>
      <c r="AA39" s="14"/>
      <c r="AB39" s="14"/>
      <c r="AC39" s="14"/>
      <c r="AD39" s="428"/>
      <c r="AE39" s="14"/>
      <c r="AF39" s="14"/>
      <c r="AG39" s="14"/>
      <c r="AH39" s="14"/>
      <c r="AI39" s="14"/>
      <c r="AJ39" s="14"/>
    </row>
    <row r="40" spans="1:36" ht="13" hidden="1" customHeight="1" x14ac:dyDescent="0.15">
      <c r="A40" t="str">
        <f>Nutrients!B40</f>
        <v>Fish Meal Combined</v>
      </c>
      <c r="B40" s="14"/>
      <c r="C40" s="14"/>
      <c r="D40" s="14"/>
      <c r="E40" s="14"/>
      <c r="F40" s="14"/>
      <c r="G40" s="14"/>
      <c r="H40" s="428"/>
      <c r="I40" s="14"/>
      <c r="J40" s="14"/>
      <c r="K40" s="14"/>
      <c r="L40" s="14"/>
      <c r="M40" s="14"/>
      <c r="N40" s="14"/>
      <c r="O40" s="428"/>
      <c r="P40" s="14"/>
      <c r="Q40" s="14"/>
      <c r="R40" s="14"/>
      <c r="S40" s="14"/>
      <c r="T40" s="14"/>
      <c r="U40" s="14"/>
      <c r="V40" s="428"/>
      <c r="W40" s="14"/>
      <c r="X40" s="14"/>
      <c r="Y40" s="14"/>
      <c r="Z40" s="14"/>
      <c r="AA40" s="14"/>
      <c r="AB40" s="14"/>
      <c r="AC40" s="14"/>
      <c r="AD40" s="428"/>
      <c r="AE40" s="14"/>
      <c r="AF40" s="14"/>
      <c r="AG40" s="14"/>
      <c r="AH40" s="14"/>
      <c r="AI40" s="14"/>
      <c r="AJ40" s="14"/>
    </row>
    <row r="41" spans="1:36" ht="13" hidden="1" customHeight="1" x14ac:dyDescent="0.15">
      <c r="A41" t="str">
        <f>Nutrients!B41</f>
        <v>Flaxseed</v>
      </c>
      <c r="B41" s="14"/>
      <c r="C41" s="14"/>
      <c r="D41" s="14"/>
      <c r="E41" s="14"/>
      <c r="F41" s="14"/>
      <c r="G41" s="14"/>
      <c r="H41" s="428"/>
      <c r="I41" s="14"/>
      <c r="J41" s="14"/>
      <c r="K41" s="14"/>
      <c r="L41" s="14"/>
      <c r="M41" s="14"/>
      <c r="N41" s="14"/>
      <c r="O41" s="428"/>
      <c r="P41" s="14"/>
      <c r="Q41" s="14"/>
      <c r="R41" s="14"/>
      <c r="S41" s="14"/>
      <c r="T41" s="14"/>
      <c r="U41" s="14"/>
      <c r="V41" s="428"/>
      <c r="W41" s="14"/>
      <c r="X41" s="14"/>
      <c r="Y41" s="14"/>
      <c r="Z41" s="14"/>
      <c r="AA41" s="14"/>
      <c r="AB41" s="14"/>
      <c r="AC41" s="14"/>
      <c r="AD41" s="428"/>
      <c r="AE41" s="14"/>
      <c r="AF41" s="14"/>
      <c r="AG41" s="14"/>
      <c r="AH41" s="14"/>
      <c r="AI41" s="14"/>
      <c r="AJ41" s="14"/>
    </row>
    <row r="42" spans="1:36" ht="13" hidden="1" customHeight="1" x14ac:dyDescent="0.15">
      <c r="A42" t="str">
        <f>Nutrients!B42</f>
        <v>Flaxseed Meal</v>
      </c>
      <c r="B42" s="14"/>
      <c r="C42" s="14"/>
      <c r="D42" s="14"/>
      <c r="E42" s="14"/>
      <c r="F42" s="14"/>
      <c r="G42" s="14"/>
      <c r="H42" s="428"/>
      <c r="I42" s="14"/>
      <c r="J42" s="14"/>
      <c r="K42" s="14"/>
      <c r="L42" s="14"/>
      <c r="M42" s="14"/>
      <c r="N42" s="14"/>
      <c r="O42" s="428"/>
      <c r="P42" s="14"/>
      <c r="Q42" s="14"/>
      <c r="R42" s="14"/>
      <c r="S42" s="14"/>
      <c r="T42" s="14"/>
      <c r="U42" s="14"/>
      <c r="V42" s="428"/>
      <c r="W42" s="14"/>
      <c r="X42" s="14"/>
      <c r="Y42" s="14"/>
      <c r="Z42" s="14"/>
      <c r="AA42" s="14"/>
      <c r="AB42" s="14"/>
      <c r="AC42" s="14"/>
      <c r="AD42" s="428"/>
      <c r="AE42" s="14"/>
      <c r="AF42" s="14"/>
      <c r="AG42" s="14"/>
      <c r="AH42" s="14"/>
      <c r="AI42" s="14"/>
      <c r="AJ42" s="14"/>
    </row>
    <row r="43" spans="1:36" ht="13" hidden="1" customHeight="1" x14ac:dyDescent="0.15">
      <c r="A43" t="str">
        <f>Nutrients!B43</f>
        <v>Lupins</v>
      </c>
      <c r="B43" s="14"/>
      <c r="C43" s="14"/>
      <c r="D43" s="14"/>
      <c r="E43" s="14"/>
      <c r="F43" s="14"/>
      <c r="G43" s="14"/>
      <c r="H43" s="428"/>
      <c r="I43" s="14"/>
      <c r="J43" s="14"/>
      <c r="K43" s="14"/>
      <c r="L43" s="14"/>
      <c r="M43" s="14"/>
      <c r="N43" s="14"/>
      <c r="O43" s="428"/>
      <c r="P43" s="14"/>
      <c r="Q43" s="14"/>
      <c r="R43" s="14"/>
      <c r="S43" s="14"/>
      <c r="T43" s="14"/>
      <c r="U43" s="14"/>
      <c r="V43" s="428"/>
      <c r="W43" s="14"/>
      <c r="X43" s="14"/>
      <c r="Y43" s="14"/>
      <c r="Z43" s="14"/>
      <c r="AA43" s="14"/>
      <c r="AB43" s="14"/>
      <c r="AC43" s="14"/>
      <c r="AD43" s="428"/>
      <c r="AE43" s="14"/>
      <c r="AF43" s="14"/>
      <c r="AG43" s="14"/>
      <c r="AH43" s="14"/>
      <c r="AI43" s="14"/>
      <c r="AJ43" s="14"/>
    </row>
    <row r="44" spans="1:36" ht="13" hidden="1" customHeight="1" x14ac:dyDescent="0.15">
      <c r="A44" t="str">
        <f>Nutrients!B44</f>
        <v>Meat Meal</v>
      </c>
      <c r="B44" s="14"/>
      <c r="C44" s="14"/>
      <c r="D44" s="14"/>
      <c r="E44" s="14"/>
      <c r="F44" s="14"/>
      <c r="G44" s="14"/>
      <c r="H44" s="428"/>
      <c r="I44" s="14"/>
      <c r="J44" s="14"/>
      <c r="K44" s="14"/>
      <c r="L44" s="14"/>
      <c r="M44" s="14"/>
      <c r="N44" s="14"/>
      <c r="O44" s="428"/>
      <c r="P44" s="14"/>
      <c r="Q44" s="14"/>
      <c r="R44" s="14"/>
      <c r="S44" s="14"/>
      <c r="T44" s="14"/>
      <c r="U44" s="14"/>
      <c r="V44" s="428"/>
      <c r="W44" s="14"/>
      <c r="X44" s="14"/>
      <c r="Y44" s="14"/>
      <c r="Z44" s="14"/>
      <c r="AA44" s="14"/>
      <c r="AB44" s="14"/>
      <c r="AC44" s="14"/>
      <c r="AD44" s="428"/>
      <c r="AE44" s="14"/>
      <c r="AF44" s="14"/>
      <c r="AG44" s="14"/>
      <c r="AH44" s="14"/>
      <c r="AI44" s="14"/>
      <c r="AJ44" s="14"/>
    </row>
    <row r="45" spans="1:36" ht="13" hidden="1" customHeight="1" x14ac:dyDescent="0.15">
      <c r="A45" t="str">
        <f>Nutrients!B45</f>
        <v>Meat and Bone Meal, P &gt;4%</v>
      </c>
      <c r="B45" s="14"/>
      <c r="C45" s="14"/>
      <c r="D45" s="14"/>
      <c r="E45" s="14"/>
      <c r="F45" s="14"/>
      <c r="G45" s="14"/>
      <c r="H45" s="428"/>
      <c r="I45" s="14"/>
      <c r="J45" s="14"/>
      <c r="K45" s="14"/>
      <c r="L45" s="14"/>
      <c r="M45" s="14"/>
      <c r="N45" s="14"/>
      <c r="O45" s="428"/>
      <c r="P45" s="14"/>
      <c r="Q45" s="14"/>
      <c r="R45" s="14"/>
      <c r="S45" s="14"/>
      <c r="T45" s="14"/>
      <c r="U45" s="14"/>
      <c r="V45" s="428"/>
      <c r="W45" s="14"/>
      <c r="X45" s="14"/>
      <c r="Y45" s="14"/>
      <c r="Z45" s="14"/>
      <c r="AA45" s="14"/>
      <c r="AB45" s="14"/>
      <c r="AC45" s="14"/>
      <c r="AD45" s="428"/>
      <c r="AE45" s="14"/>
      <c r="AF45" s="14"/>
      <c r="AG45" s="14"/>
      <c r="AH45" s="14"/>
      <c r="AI45" s="14"/>
      <c r="AJ45" s="14"/>
    </row>
    <row r="46" spans="1:36" ht="13" hidden="1" customHeight="1" x14ac:dyDescent="0.15">
      <c r="A46" t="str">
        <f>Nutrients!B46</f>
        <v>Milk, Casein</v>
      </c>
      <c r="B46" s="14"/>
      <c r="C46" s="14"/>
      <c r="D46" s="14"/>
      <c r="E46" s="14"/>
      <c r="F46" s="14"/>
      <c r="G46" s="14"/>
      <c r="H46" s="428"/>
      <c r="I46" s="14"/>
      <c r="J46" s="14"/>
      <c r="K46" s="14"/>
      <c r="L46" s="14"/>
      <c r="M46" s="14"/>
      <c r="N46" s="14"/>
      <c r="O46" s="428"/>
      <c r="P46" s="14"/>
      <c r="Q46" s="14"/>
      <c r="R46" s="14"/>
      <c r="S46" s="14"/>
      <c r="T46" s="14"/>
      <c r="U46" s="14"/>
      <c r="V46" s="428"/>
      <c r="W46" s="14"/>
      <c r="X46" s="14"/>
      <c r="Y46" s="14"/>
      <c r="Z46" s="14"/>
      <c r="AA46" s="14"/>
      <c r="AB46" s="14"/>
      <c r="AC46" s="14"/>
      <c r="AD46" s="428"/>
      <c r="AE46" s="14"/>
      <c r="AF46" s="14"/>
      <c r="AG46" s="14"/>
      <c r="AH46" s="14"/>
      <c r="AI46" s="14"/>
      <c r="AJ46" s="14"/>
    </row>
    <row r="47" spans="1:36" ht="13" hidden="1" customHeight="1" x14ac:dyDescent="0.15">
      <c r="A47" t="str">
        <f>Nutrients!B47</f>
        <v>Milk, Lactose</v>
      </c>
      <c r="B47" s="14"/>
      <c r="C47" s="14"/>
      <c r="D47" s="14"/>
      <c r="E47" s="14"/>
      <c r="F47" s="14"/>
      <c r="G47" s="14"/>
      <c r="H47" s="428"/>
      <c r="I47" s="14"/>
      <c r="J47" s="14"/>
      <c r="K47" s="14"/>
      <c r="L47" s="14"/>
      <c r="M47" s="14"/>
      <c r="N47" s="14"/>
      <c r="O47" s="428"/>
      <c r="P47" s="14"/>
      <c r="Q47" s="14"/>
      <c r="R47" s="14"/>
      <c r="S47" s="14"/>
      <c r="T47" s="14"/>
      <c r="U47" s="14"/>
      <c r="V47" s="428"/>
      <c r="W47" s="14"/>
      <c r="X47" s="14"/>
      <c r="Y47" s="14"/>
      <c r="Z47" s="14"/>
      <c r="AA47" s="14"/>
      <c r="AB47" s="14"/>
      <c r="AC47" s="14"/>
      <c r="AD47" s="428"/>
      <c r="AE47" s="14"/>
      <c r="AF47" s="14"/>
      <c r="AG47" s="14"/>
      <c r="AH47" s="14"/>
      <c r="AI47" s="14"/>
      <c r="AJ47" s="14"/>
    </row>
    <row r="48" spans="1:36" ht="13" hidden="1" customHeight="1" x14ac:dyDescent="0.15">
      <c r="A48" t="str">
        <f>Nutrients!B48</f>
        <v>Milk, Skim Milk Powder</v>
      </c>
      <c r="B48" s="14"/>
      <c r="C48" s="14"/>
      <c r="D48" s="14"/>
      <c r="E48" s="14"/>
      <c r="F48" s="14"/>
      <c r="G48" s="14"/>
      <c r="H48" s="428"/>
      <c r="I48" s="14"/>
      <c r="J48" s="14"/>
      <c r="K48" s="14"/>
      <c r="L48" s="14"/>
      <c r="M48" s="14"/>
      <c r="N48" s="14"/>
      <c r="O48" s="428"/>
      <c r="P48" s="14"/>
      <c r="Q48" s="14"/>
      <c r="R48" s="14"/>
      <c r="S48" s="14"/>
      <c r="T48" s="14"/>
      <c r="U48" s="14"/>
      <c r="V48" s="428"/>
      <c r="W48" s="14"/>
      <c r="X48" s="14"/>
      <c r="Y48" s="14"/>
      <c r="Z48" s="14"/>
      <c r="AA48" s="14"/>
      <c r="AB48" s="14"/>
      <c r="AC48" s="14"/>
      <c r="AD48" s="428"/>
      <c r="AE48" s="14"/>
      <c r="AF48" s="14"/>
      <c r="AG48" s="14"/>
      <c r="AH48" s="14"/>
      <c r="AI48" s="14"/>
      <c r="AJ48" s="14"/>
    </row>
    <row r="49" spans="1:38" ht="13" hidden="1" customHeight="1" x14ac:dyDescent="0.15">
      <c r="A49" t="str">
        <f>Nutrients!B49</f>
        <v>Milk, Whey Powder</v>
      </c>
      <c r="B49" s="14"/>
      <c r="C49" s="14"/>
      <c r="D49" s="14"/>
      <c r="E49" s="14"/>
      <c r="F49" s="14"/>
      <c r="G49" s="14"/>
      <c r="H49" s="428"/>
      <c r="I49" s="14"/>
      <c r="J49" s="14"/>
      <c r="K49" s="14"/>
      <c r="L49" s="14"/>
      <c r="M49" s="14"/>
      <c r="N49" s="14"/>
      <c r="O49" s="428"/>
      <c r="P49" s="14"/>
      <c r="Q49" s="14"/>
      <c r="R49" s="14"/>
      <c r="S49" s="14"/>
      <c r="T49" s="14"/>
      <c r="U49" s="14"/>
      <c r="V49" s="428"/>
      <c r="W49" s="14"/>
      <c r="X49" s="14"/>
      <c r="Y49" s="14"/>
      <c r="Z49" s="14"/>
      <c r="AA49" s="14"/>
      <c r="AB49" s="14"/>
      <c r="AC49" s="14"/>
      <c r="AD49" s="428"/>
      <c r="AE49" s="14"/>
      <c r="AF49" s="14"/>
      <c r="AG49" s="14"/>
      <c r="AH49" s="14"/>
      <c r="AI49" s="14"/>
      <c r="AJ49" s="14"/>
    </row>
    <row r="50" spans="1:38" ht="13" hidden="1" customHeight="1" x14ac:dyDescent="0.15">
      <c r="A50" t="str">
        <f>Nutrients!B50</f>
        <v>Milk, Whey Permeate, 80% lactose</v>
      </c>
      <c r="B50" s="14"/>
      <c r="C50" s="14"/>
      <c r="D50" s="14"/>
      <c r="E50" s="14"/>
      <c r="F50" s="14"/>
      <c r="G50" s="14"/>
      <c r="H50" s="428"/>
      <c r="I50" s="14"/>
      <c r="J50" s="14"/>
      <c r="K50" s="14"/>
      <c r="L50" s="14"/>
      <c r="M50" s="14"/>
      <c r="N50" s="14"/>
      <c r="O50" s="428"/>
      <c r="P50" s="14"/>
      <c r="Q50" s="14"/>
      <c r="R50" s="14"/>
      <c r="S50" s="14"/>
      <c r="T50" s="14"/>
      <c r="U50" s="14"/>
      <c r="V50" s="428"/>
      <c r="W50" s="14"/>
      <c r="X50" s="14"/>
      <c r="Y50" s="14"/>
      <c r="Z50" s="14"/>
      <c r="AA50" s="14"/>
      <c r="AB50" s="14"/>
      <c r="AC50" s="14"/>
      <c r="AD50" s="428"/>
      <c r="AE50" s="14"/>
      <c r="AF50" s="14"/>
      <c r="AG50" s="14"/>
      <c r="AH50" s="14"/>
      <c r="AI50" s="14"/>
      <c r="AJ50" s="14"/>
    </row>
    <row r="51" spans="1:38" ht="13" hidden="1" customHeight="1" x14ac:dyDescent="0.15">
      <c r="A51" t="str">
        <f>Nutrients!B51</f>
        <v>Milk, Whey Protein Concentrate</v>
      </c>
      <c r="B51" s="14"/>
      <c r="C51" s="14"/>
      <c r="D51" s="14"/>
      <c r="E51" s="14"/>
      <c r="F51" s="14"/>
      <c r="G51" s="14"/>
      <c r="H51" s="428"/>
      <c r="I51" s="14"/>
      <c r="J51" s="14"/>
      <c r="K51" s="14"/>
      <c r="L51" s="14"/>
      <c r="M51" s="14"/>
      <c r="N51" s="14"/>
      <c r="O51" s="428"/>
      <c r="P51" s="14"/>
      <c r="Q51" s="14"/>
      <c r="R51" s="14"/>
      <c r="S51" s="14"/>
      <c r="T51" s="14"/>
      <c r="U51" s="14"/>
      <c r="V51" s="428"/>
      <c r="W51" s="14"/>
      <c r="X51" s="14"/>
      <c r="Y51" s="14"/>
      <c r="Z51" s="14"/>
      <c r="AA51" s="14"/>
      <c r="AB51" s="14"/>
      <c r="AC51" s="14"/>
      <c r="AD51" s="428"/>
      <c r="AE51" s="14"/>
      <c r="AF51" s="14"/>
      <c r="AG51" s="14"/>
      <c r="AH51" s="14"/>
      <c r="AI51" s="14"/>
      <c r="AJ51" s="14"/>
    </row>
    <row r="52" spans="1:38" ht="13" hidden="1" customHeight="1" x14ac:dyDescent="0.15">
      <c r="A52" t="str">
        <f>Nutrients!B52</f>
        <v>Millet</v>
      </c>
      <c r="B52" s="14"/>
      <c r="C52" s="14"/>
      <c r="D52" s="14"/>
      <c r="E52" s="14"/>
      <c r="F52" s="14"/>
      <c r="G52" s="14"/>
      <c r="H52" s="428"/>
      <c r="I52" s="14"/>
      <c r="J52" s="14"/>
      <c r="K52" s="14"/>
      <c r="L52" s="14"/>
      <c r="M52" s="14"/>
      <c r="N52" s="14"/>
      <c r="O52" s="428"/>
      <c r="P52" s="14"/>
      <c r="Q52" s="14"/>
      <c r="R52" s="14"/>
      <c r="S52" s="14"/>
      <c r="T52" s="14"/>
      <c r="U52" s="14"/>
      <c r="V52" s="428"/>
      <c r="W52" s="14"/>
      <c r="X52" s="14"/>
      <c r="Y52" s="14"/>
      <c r="Z52" s="14"/>
      <c r="AA52" s="14"/>
      <c r="AB52" s="14"/>
      <c r="AC52" s="14"/>
      <c r="AD52" s="428"/>
      <c r="AE52" s="14"/>
      <c r="AF52" s="14"/>
      <c r="AG52" s="14"/>
      <c r="AH52" s="14"/>
      <c r="AI52" s="14"/>
      <c r="AJ52" s="14"/>
    </row>
    <row r="53" spans="1:38" ht="13" hidden="1" customHeight="1" x14ac:dyDescent="0.15">
      <c r="A53" t="str">
        <f>Nutrients!B53</f>
        <v>Molasses, Sugarbeet</v>
      </c>
      <c r="B53" s="14"/>
      <c r="C53" s="14"/>
      <c r="D53" s="14"/>
      <c r="E53" s="14"/>
      <c r="F53" s="14"/>
      <c r="G53" s="14"/>
      <c r="H53" s="428"/>
      <c r="I53" s="14"/>
      <c r="J53" s="14"/>
      <c r="K53" s="14"/>
      <c r="L53" s="14"/>
      <c r="M53" s="14"/>
      <c r="N53" s="14"/>
      <c r="O53" s="428"/>
      <c r="P53" s="14"/>
      <c r="Q53" s="14"/>
      <c r="R53" s="14"/>
      <c r="S53" s="14"/>
      <c r="T53" s="14"/>
      <c r="U53" s="14"/>
      <c r="V53" s="428"/>
      <c r="W53" s="14"/>
      <c r="X53" s="14"/>
      <c r="Y53" s="14"/>
      <c r="Z53" s="14"/>
      <c r="AA53" s="14"/>
      <c r="AB53" s="14"/>
      <c r="AC53" s="14"/>
      <c r="AD53" s="428"/>
      <c r="AE53" s="14"/>
      <c r="AF53" s="14"/>
      <c r="AG53" s="14"/>
      <c r="AH53" s="14"/>
      <c r="AI53" s="14"/>
      <c r="AJ53" s="14"/>
    </row>
    <row r="54" spans="1:38" ht="13" hidden="1" customHeight="1" x14ac:dyDescent="0.15">
      <c r="A54" t="str">
        <f>Nutrients!B54</f>
        <v>Molasses, Sugarcane</v>
      </c>
      <c r="B54" s="14"/>
      <c r="C54" s="14"/>
      <c r="D54" s="14"/>
      <c r="E54" s="14"/>
      <c r="F54" s="14"/>
      <c r="G54" s="14"/>
      <c r="H54" s="428"/>
      <c r="I54" s="14"/>
      <c r="J54" s="14"/>
      <c r="K54" s="14"/>
      <c r="L54" s="14"/>
      <c r="M54" s="14"/>
      <c r="N54" s="14"/>
      <c r="O54" s="428"/>
      <c r="P54" s="14"/>
      <c r="Q54" s="14"/>
      <c r="R54" s="14"/>
      <c r="S54" s="14"/>
      <c r="T54" s="14"/>
      <c r="U54" s="14"/>
      <c r="V54" s="428"/>
      <c r="W54" s="14"/>
      <c r="X54" s="14"/>
      <c r="Y54" s="14"/>
      <c r="Z54" s="14"/>
      <c r="AA54" s="14"/>
      <c r="AB54" s="14"/>
      <c r="AC54" s="14"/>
      <c r="AD54" s="428"/>
      <c r="AE54" s="14"/>
      <c r="AF54" s="14"/>
      <c r="AG54" s="14"/>
      <c r="AH54" s="14"/>
      <c r="AI54" s="14"/>
      <c r="AJ54" s="14"/>
    </row>
    <row r="55" spans="1:38" ht="13" hidden="1" customHeight="1" x14ac:dyDescent="0.15">
      <c r="A55" t="str">
        <f>Nutrients!B55</f>
        <v>Oats</v>
      </c>
      <c r="B55" s="14"/>
      <c r="C55" s="14"/>
      <c r="D55" s="14"/>
      <c r="E55" s="14"/>
      <c r="F55" s="14"/>
      <c r="G55" s="14"/>
      <c r="H55" s="428"/>
      <c r="I55" s="14"/>
      <c r="J55" s="14"/>
      <c r="K55" s="14"/>
      <c r="L55" s="14"/>
      <c r="M55" s="14"/>
      <c r="N55" s="14"/>
      <c r="O55" s="428"/>
      <c r="P55" s="14"/>
      <c r="Q55" s="14"/>
      <c r="R55" s="14"/>
      <c r="S55" s="14"/>
      <c r="T55" s="14"/>
      <c r="U55" s="14"/>
      <c r="V55" s="428"/>
      <c r="W55" s="14"/>
      <c r="X55" s="14"/>
      <c r="Y55" s="14"/>
      <c r="Z55" s="14"/>
      <c r="AA55" s="14"/>
      <c r="AB55" s="14"/>
      <c r="AC55" s="14"/>
      <c r="AD55" s="428"/>
      <c r="AE55" s="14"/>
      <c r="AF55" s="14"/>
      <c r="AG55" s="14"/>
      <c r="AH55" s="14"/>
      <c r="AI55" s="14"/>
      <c r="AJ55" s="14"/>
      <c r="AK55" s="14"/>
      <c r="AL55" s="14"/>
    </row>
    <row r="56" spans="1:38" ht="13" hidden="1" customHeight="1" x14ac:dyDescent="0.15">
      <c r="A56" t="str">
        <f>Nutrients!B56</f>
        <v>Oats, Naked</v>
      </c>
      <c r="B56" s="14"/>
      <c r="C56" s="14"/>
      <c r="D56" s="14"/>
      <c r="E56" s="14"/>
      <c r="F56" s="14"/>
      <c r="G56" s="14"/>
      <c r="H56" s="428"/>
      <c r="I56" s="14"/>
      <c r="J56" s="14"/>
      <c r="K56" s="14"/>
      <c r="L56" s="14"/>
      <c r="M56" s="14"/>
      <c r="N56" s="14"/>
      <c r="O56" s="428"/>
      <c r="P56" s="14"/>
      <c r="Q56" s="14"/>
      <c r="R56" s="14"/>
      <c r="S56" s="14"/>
      <c r="T56" s="14"/>
      <c r="U56" s="14"/>
      <c r="V56" s="428"/>
      <c r="W56" s="14"/>
      <c r="X56" s="14"/>
      <c r="Y56" s="14"/>
      <c r="Z56" s="14"/>
      <c r="AA56" s="14"/>
      <c r="AB56" s="14"/>
      <c r="AC56" s="14"/>
      <c r="AD56" s="428"/>
      <c r="AE56" s="14"/>
      <c r="AF56" s="14"/>
      <c r="AG56" s="14"/>
      <c r="AH56" s="14"/>
      <c r="AI56" s="14"/>
      <c r="AJ56" s="14"/>
    </row>
    <row r="57" spans="1:38" ht="13" hidden="1" customHeight="1" x14ac:dyDescent="0.15">
      <c r="A57" t="str">
        <f>Nutrients!B57</f>
        <v>Oat Groats</v>
      </c>
      <c r="B57" s="14"/>
      <c r="C57" s="14"/>
      <c r="D57" s="14"/>
      <c r="E57" s="14"/>
      <c r="F57" s="14"/>
      <c r="G57" s="14"/>
      <c r="H57" s="428"/>
      <c r="I57" s="14"/>
      <c r="J57" s="14"/>
      <c r="K57" s="14"/>
      <c r="L57" s="14"/>
      <c r="M57" s="14"/>
      <c r="N57" s="14"/>
      <c r="O57" s="428"/>
      <c r="P57" s="14"/>
      <c r="Q57" s="14"/>
      <c r="R57" s="14"/>
      <c r="S57" s="14"/>
      <c r="T57" s="14"/>
      <c r="U57" s="14"/>
      <c r="V57" s="428"/>
      <c r="W57" s="14"/>
      <c r="X57" s="14"/>
      <c r="Y57" s="14"/>
      <c r="Z57" s="14"/>
      <c r="AA57" s="14"/>
      <c r="AB57" s="14"/>
      <c r="AC57" s="14"/>
      <c r="AD57" s="428"/>
      <c r="AE57" s="14"/>
      <c r="AF57" s="14"/>
      <c r="AG57" s="14"/>
      <c r="AH57" s="14"/>
      <c r="AI57" s="14"/>
      <c r="AJ57" s="14"/>
    </row>
    <row r="58" spans="1:38" ht="13" hidden="1" customHeight="1" x14ac:dyDescent="0.15">
      <c r="A58" t="str">
        <f>Nutrients!B58</f>
        <v>Peanut Meal, Expelled</v>
      </c>
      <c r="B58" s="14"/>
      <c r="C58" s="14"/>
      <c r="D58" s="14"/>
      <c r="E58" s="14"/>
      <c r="F58" s="14"/>
      <c r="G58" s="14"/>
      <c r="H58" s="428"/>
      <c r="I58" s="14"/>
      <c r="J58" s="14"/>
      <c r="K58" s="14"/>
      <c r="L58" s="14"/>
      <c r="M58" s="14"/>
      <c r="N58" s="14"/>
      <c r="O58" s="428"/>
      <c r="P58" s="14"/>
      <c r="Q58" s="14"/>
      <c r="R58" s="14"/>
      <c r="S58" s="14"/>
      <c r="T58" s="14"/>
      <c r="U58" s="14"/>
      <c r="V58" s="428"/>
      <c r="W58" s="14"/>
      <c r="X58" s="14"/>
      <c r="Y58" s="14"/>
      <c r="Z58" s="14"/>
      <c r="AA58" s="14"/>
      <c r="AB58" s="14"/>
      <c r="AC58" s="14"/>
      <c r="AD58" s="428"/>
      <c r="AE58" s="14"/>
      <c r="AF58" s="14"/>
      <c r="AG58" s="14"/>
      <c r="AH58" s="14"/>
      <c r="AI58" s="14"/>
      <c r="AJ58" s="14"/>
    </row>
    <row r="59" spans="1:38" ht="13" hidden="1" customHeight="1" x14ac:dyDescent="0.15">
      <c r="A59" t="str">
        <f>Nutrients!B59</f>
        <v>Peanut Meal, Extracted</v>
      </c>
      <c r="B59" s="14"/>
      <c r="C59" s="14"/>
      <c r="D59" s="14"/>
      <c r="E59" s="14"/>
      <c r="F59" s="14"/>
      <c r="G59" s="14"/>
      <c r="H59" s="428"/>
      <c r="I59" s="14"/>
      <c r="J59" s="14"/>
      <c r="K59" s="14"/>
      <c r="L59" s="14"/>
      <c r="M59" s="14"/>
      <c r="N59" s="14"/>
      <c r="O59" s="428"/>
      <c r="P59" s="14"/>
      <c r="Q59" s="14"/>
      <c r="R59" s="14"/>
      <c r="S59" s="14"/>
      <c r="T59" s="14"/>
      <c r="U59" s="14"/>
      <c r="V59" s="428"/>
      <c r="W59" s="14"/>
      <c r="X59" s="14"/>
      <c r="Y59" s="14"/>
      <c r="Z59" s="14"/>
      <c r="AA59" s="14"/>
      <c r="AB59" s="14"/>
      <c r="AC59" s="14"/>
      <c r="AD59" s="428"/>
      <c r="AE59" s="14"/>
      <c r="AF59" s="14"/>
      <c r="AG59" s="14"/>
      <c r="AH59" s="14"/>
      <c r="AI59" s="14"/>
      <c r="AJ59" s="14"/>
    </row>
    <row r="60" spans="1:38" ht="13" hidden="1" customHeight="1" x14ac:dyDescent="0.15">
      <c r="A60" t="str">
        <f>Nutrients!B60</f>
        <v>Peas, Field Peas</v>
      </c>
      <c r="B60" s="14"/>
      <c r="C60" s="14"/>
      <c r="D60" s="14"/>
      <c r="E60" s="14"/>
      <c r="F60" s="14"/>
      <c r="G60" s="14"/>
      <c r="H60" s="428"/>
      <c r="I60" s="14"/>
      <c r="J60" s="14"/>
      <c r="K60" s="14"/>
      <c r="L60" s="14"/>
      <c r="M60" s="14"/>
      <c r="N60" s="14"/>
      <c r="O60" s="428"/>
      <c r="P60" s="14"/>
      <c r="Q60" s="14"/>
      <c r="R60" s="14"/>
      <c r="S60" s="14"/>
      <c r="T60" s="14"/>
      <c r="U60" s="14"/>
      <c r="V60" s="428"/>
      <c r="W60" s="14"/>
      <c r="X60" s="14"/>
      <c r="Y60" s="14"/>
      <c r="Z60" s="14"/>
      <c r="AA60" s="14"/>
      <c r="AB60" s="14"/>
      <c r="AC60" s="14"/>
      <c r="AD60" s="428"/>
      <c r="AE60" s="14"/>
      <c r="AF60" s="14"/>
      <c r="AG60" s="14"/>
      <c r="AH60" s="14"/>
      <c r="AI60" s="14"/>
      <c r="AJ60" s="14"/>
    </row>
    <row r="61" spans="1:38" ht="13" hidden="1" customHeight="1" x14ac:dyDescent="0.15">
      <c r="A61" t="str">
        <f>Nutrients!B61</f>
        <v>Pea Protein Concentrate</v>
      </c>
      <c r="B61" s="14"/>
      <c r="C61" s="14"/>
      <c r="D61" s="14"/>
      <c r="E61" s="14"/>
      <c r="F61" s="14"/>
      <c r="G61" s="14"/>
      <c r="H61" s="428"/>
      <c r="I61" s="14"/>
      <c r="J61" s="14"/>
      <c r="K61" s="14"/>
      <c r="L61" s="14"/>
      <c r="M61" s="14"/>
      <c r="N61" s="14"/>
      <c r="O61" s="428"/>
      <c r="P61" s="14"/>
      <c r="Q61" s="14"/>
      <c r="R61" s="14"/>
      <c r="S61" s="14"/>
      <c r="T61" s="14"/>
      <c r="U61" s="14"/>
      <c r="V61" s="428"/>
      <c r="W61" s="14"/>
      <c r="X61" s="14"/>
      <c r="Y61" s="14"/>
      <c r="Z61" s="14"/>
      <c r="AA61" s="14"/>
      <c r="AB61" s="14"/>
      <c r="AC61" s="14"/>
      <c r="AD61" s="428"/>
      <c r="AE61" s="14"/>
      <c r="AF61" s="14"/>
      <c r="AG61" s="14"/>
      <c r="AH61" s="14"/>
      <c r="AI61" s="14"/>
      <c r="AJ61" s="14"/>
    </row>
    <row r="62" spans="1:38" ht="13" hidden="1" customHeight="1" x14ac:dyDescent="0.15">
      <c r="A62" t="str">
        <f>Nutrients!B62</f>
        <v>Potato Protein Concentrate</v>
      </c>
      <c r="B62" s="14"/>
      <c r="C62" s="14"/>
      <c r="D62" s="14"/>
      <c r="E62" s="14"/>
      <c r="F62" s="14"/>
      <c r="G62" s="14"/>
      <c r="H62" s="428"/>
      <c r="I62" s="14"/>
      <c r="J62" s="14"/>
      <c r="K62" s="14"/>
      <c r="L62" s="14"/>
      <c r="M62" s="14"/>
      <c r="N62" s="14"/>
      <c r="O62" s="428"/>
      <c r="P62" s="14"/>
      <c r="Q62" s="14"/>
      <c r="R62" s="14"/>
      <c r="S62" s="14"/>
      <c r="T62" s="14"/>
      <c r="U62" s="14"/>
      <c r="V62" s="428"/>
      <c r="W62" s="14"/>
      <c r="X62" s="14"/>
      <c r="Y62" s="14"/>
      <c r="Z62" s="14"/>
      <c r="AA62" s="14"/>
      <c r="AB62" s="14"/>
      <c r="AC62" s="14"/>
      <c r="AD62" s="428"/>
      <c r="AE62" s="14"/>
      <c r="AF62" s="14"/>
      <c r="AG62" s="14"/>
      <c r="AH62" s="14"/>
      <c r="AI62" s="14"/>
      <c r="AJ62" s="14"/>
    </row>
    <row r="63" spans="1:38" ht="13" hidden="1" customHeight="1" x14ac:dyDescent="0.15">
      <c r="A63" t="str">
        <f>Nutrients!B63</f>
        <v>Poultry Byproduct</v>
      </c>
      <c r="B63" s="14"/>
      <c r="C63" s="14"/>
      <c r="D63" s="14"/>
      <c r="E63" s="14"/>
      <c r="F63" s="14"/>
      <c r="G63" s="14"/>
      <c r="H63" s="428"/>
      <c r="I63" s="14"/>
      <c r="J63" s="14"/>
      <c r="K63" s="14"/>
      <c r="L63" s="14"/>
      <c r="M63" s="14"/>
      <c r="N63" s="14"/>
      <c r="O63" s="428"/>
      <c r="P63" s="14"/>
      <c r="Q63" s="14"/>
      <c r="R63" s="14"/>
      <c r="S63" s="14"/>
      <c r="T63" s="14"/>
      <c r="U63" s="14"/>
      <c r="V63" s="428"/>
      <c r="W63" s="14"/>
      <c r="X63" s="14"/>
      <c r="Y63" s="14"/>
      <c r="Z63" s="14"/>
      <c r="AA63" s="14"/>
      <c r="AB63" s="14"/>
      <c r="AC63" s="14"/>
      <c r="AD63" s="428"/>
      <c r="AE63" s="14"/>
      <c r="AF63" s="14"/>
      <c r="AG63" s="14"/>
      <c r="AH63" s="14"/>
      <c r="AI63" s="14"/>
      <c r="AJ63" s="14"/>
    </row>
    <row r="64" spans="1:38" ht="13" hidden="1" customHeight="1" x14ac:dyDescent="0.15">
      <c r="A64" t="str">
        <f>Nutrients!B64</f>
        <v>Rice</v>
      </c>
      <c r="B64" s="14"/>
      <c r="C64" s="14"/>
      <c r="D64" s="14"/>
      <c r="E64" s="14"/>
      <c r="F64" s="14"/>
      <c r="G64" s="14"/>
      <c r="H64" s="428"/>
      <c r="I64" s="14"/>
      <c r="J64" s="14"/>
      <c r="K64" s="14"/>
      <c r="L64" s="14"/>
      <c r="M64" s="14"/>
      <c r="N64" s="14"/>
      <c r="O64" s="428"/>
      <c r="P64" s="14"/>
      <c r="Q64" s="14"/>
      <c r="R64" s="14"/>
      <c r="S64" s="14"/>
      <c r="T64" s="14"/>
      <c r="U64" s="14"/>
      <c r="V64" s="428"/>
      <c r="W64" s="14"/>
      <c r="X64" s="14"/>
      <c r="Y64" s="14"/>
      <c r="Z64" s="14"/>
      <c r="AA64" s="14"/>
      <c r="AB64" s="14"/>
      <c r="AC64" s="14"/>
      <c r="AD64" s="428"/>
      <c r="AE64" s="14"/>
      <c r="AF64" s="14"/>
      <c r="AG64" s="14"/>
      <c r="AH64" s="14"/>
      <c r="AI64" s="14"/>
      <c r="AJ64" s="14"/>
    </row>
    <row r="65" spans="1:38" ht="13" hidden="1" customHeight="1" x14ac:dyDescent="0.15">
      <c r="A65" t="str">
        <f>Nutrients!B65</f>
        <v>Rice Bran</v>
      </c>
      <c r="B65" s="14"/>
      <c r="C65" s="14"/>
      <c r="D65" s="14"/>
      <c r="E65" s="14"/>
      <c r="F65" s="14"/>
      <c r="G65" s="14"/>
      <c r="H65" s="428"/>
      <c r="I65" s="14"/>
      <c r="J65" s="14"/>
      <c r="K65" s="14"/>
      <c r="L65" s="14"/>
      <c r="M65" s="14"/>
      <c r="N65" s="14"/>
      <c r="O65" s="428"/>
      <c r="P65" s="14"/>
      <c r="Q65" s="14"/>
      <c r="R65" s="14"/>
      <c r="S65" s="14"/>
      <c r="T65" s="14"/>
      <c r="U65" s="14"/>
      <c r="V65" s="428"/>
      <c r="W65" s="14"/>
      <c r="X65" s="14"/>
      <c r="Y65" s="14"/>
      <c r="Z65" s="14"/>
      <c r="AA65" s="14"/>
      <c r="AB65" s="14"/>
      <c r="AC65" s="14"/>
      <c r="AD65" s="428"/>
      <c r="AE65" s="14"/>
      <c r="AF65" s="14"/>
      <c r="AG65" s="14"/>
      <c r="AH65" s="14"/>
      <c r="AI65" s="14"/>
      <c r="AJ65" s="14"/>
    </row>
    <row r="66" spans="1:38" ht="13" hidden="1" customHeight="1" x14ac:dyDescent="0.15">
      <c r="A66" t="str">
        <f>Nutrients!B66</f>
        <v>Rice Bran, Defatted</v>
      </c>
      <c r="B66" s="14"/>
      <c r="C66" s="14"/>
      <c r="D66" s="14"/>
      <c r="E66" s="14"/>
      <c r="F66" s="14"/>
      <c r="G66" s="14"/>
      <c r="H66" s="428"/>
      <c r="I66" s="14"/>
      <c r="J66" s="14"/>
      <c r="K66" s="14"/>
      <c r="L66" s="14"/>
      <c r="M66" s="14"/>
      <c r="N66" s="14"/>
      <c r="O66" s="428"/>
      <c r="P66" s="14"/>
      <c r="Q66" s="14"/>
      <c r="R66" s="14"/>
      <c r="S66" s="14"/>
      <c r="T66" s="14"/>
      <c r="U66" s="14"/>
      <c r="V66" s="428"/>
      <c r="W66" s="14"/>
      <c r="X66" s="14"/>
      <c r="Y66" s="14"/>
      <c r="Z66" s="14"/>
      <c r="AA66" s="14"/>
      <c r="AB66" s="14"/>
      <c r="AC66" s="14"/>
      <c r="AD66" s="428"/>
      <c r="AE66" s="14"/>
      <c r="AF66" s="14"/>
      <c r="AG66" s="14"/>
      <c r="AH66" s="14"/>
      <c r="AI66" s="14"/>
      <c r="AJ66" s="14"/>
    </row>
    <row r="67" spans="1:38" ht="13" hidden="1" customHeight="1" x14ac:dyDescent="0.15">
      <c r="A67" t="str">
        <f>Nutrients!B67</f>
        <v>Rice, Broken</v>
      </c>
      <c r="B67" s="14"/>
      <c r="C67" s="14"/>
      <c r="D67" s="14"/>
      <c r="E67" s="14"/>
      <c r="F67" s="14"/>
      <c r="G67" s="14"/>
      <c r="H67" s="428"/>
      <c r="I67" s="14"/>
      <c r="J67" s="14"/>
      <c r="K67" s="14"/>
      <c r="L67" s="14"/>
      <c r="M67" s="14"/>
      <c r="N67" s="14"/>
      <c r="O67" s="428"/>
      <c r="P67" s="14"/>
      <c r="Q67" s="14"/>
      <c r="R67" s="14"/>
      <c r="S67" s="14"/>
      <c r="T67" s="14"/>
      <c r="U67" s="14"/>
      <c r="V67" s="428"/>
      <c r="W67" s="14"/>
      <c r="X67" s="14"/>
      <c r="Y67" s="14"/>
      <c r="Z67" s="14"/>
      <c r="AA67" s="14"/>
      <c r="AB67" s="14"/>
      <c r="AC67" s="14"/>
      <c r="AD67" s="428"/>
      <c r="AE67" s="14"/>
      <c r="AF67" s="14"/>
      <c r="AG67" s="14"/>
      <c r="AH67" s="14"/>
      <c r="AI67" s="14"/>
      <c r="AJ67" s="14"/>
    </row>
    <row r="68" spans="1:38" ht="13" hidden="1" customHeight="1" x14ac:dyDescent="0.15">
      <c r="A68" t="str">
        <f>Nutrients!B68</f>
        <v>Rye</v>
      </c>
      <c r="B68" s="14"/>
      <c r="C68" s="14"/>
      <c r="D68" s="14"/>
      <c r="E68" s="14"/>
      <c r="F68" s="14"/>
      <c r="G68" s="14"/>
      <c r="H68" s="428"/>
      <c r="I68" s="14"/>
      <c r="J68" s="14"/>
      <c r="K68" s="14"/>
      <c r="L68" s="14"/>
      <c r="M68" s="14"/>
      <c r="N68" s="14"/>
      <c r="O68" s="428"/>
      <c r="P68" s="14"/>
      <c r="Q68" s="14"/>
      <c r="R68" s="14"/>
      <c r="S68" s="14"/>
      <c r="T68" s="14"/>
      <c r="U68" s="14"/>
      <c r="V68" s="428"/>
      <c r="W68" s="14"/>
      <c r="X68" s="14"/>
      <c r="Y68" s="14"/>
      <c r="Z68" s="14"/>
      <c r="AA68" s="14"/>
      <c r="AB68" s="14"/>
      <c r="AC68" s="14"/>
      <c r="AD68" s="428"/>
      <c r="AE68" s="14"/>
      <c r="AF68" s="14"/>
      <c r="AG68" s="14"/>
      <c r="AH68" s="14"/>
      <c r="AI68" s="14"/>
      <c r="AJ68" s="14"/>
    </row>
    <row r="69" spans="1:38" ht="13" hidden="1" customHeight="1" x14ac:dyDescent="0.15">
      <c r="A69" t="str">
        <f>Nutrients!B69</f>
        <v>Sesame Meal</v>
      </c>
      <c r="B69" s="14"/>
      <c r="C69" s="14"/>
      <c r="D69" s="14"/>
      <c r="E69" s="14"/>
      <c r="F69" s="14"/>
      <c r="G69" s="14"/>
      <c r="H69" s="428"/>
      <c r="I69" s="14"/>
      <c r="J69" s="14"/>
      <c r="K69" s="14"/>
      <c r="L69" s="14"/>
      <c r="M69" s="14"/>
      <c r="N69" s="14"/>
      <c r="O69" s="428"/>
      <c r="P69" s="14"/>
      <c r="Q69" s="14"/>
      <c r="R69" s="14"/>
      <c r="S69" s="14"/>
      <c r="T69" s="14"/>
      <c r="U69" s="14"/>
      <c r="V69" s="428"/>
      <c r="W69" s="14"/>
      <c r="X69" s="14"/>
      <c r="Y69" s="14"/>
      <c r="Z69" s="14"/>
      <c r="AA69" s="14"/>
      <c r="AB69" s="14"/>
      <c r="AC69" s="14"/>
      <c r="AD69" s="428"/>
      <c r="AE69" s="14"/>
      <c r="AF69" s="14"/>
      <c r="AG69" s="14"/>
      <c r="AH69" s="14"/>
      <c r="AI69" s="14"/>
      <c r="AJ69" s="14"/>
    </row>
    <row r="70" spans="1:38" ht="13" hidden="1" customHeight="1" x14ac:dyDescent="0.15">
      <c r="A70" t="str">
        <f>Nutrients!B70</f>
        <v>Sorghum</v>
      </c>
      <c r="B70" s="14"/>
      <c r="C70" s="14"/>
      <c r="D70" s="14"/>
      <c r="E70" s="14"/>
      <c r="F70" s="14"/>
      <c r="G70" s="14"/>
      <c r="H70" s="428"/>
      <c r="I70" s="14"/>
      <c r="J70" s="14"/>
      <c r="K70" s="14"/>
      <c r="L70" s="14"/>
      <c r="M70" s="14"/>
      <c r="N70" s="14"/>
      <c r="O70" s="428"/>
      <c r="P70" s="14"/>
      <c r="Q70" s="14"/>
      <c r="R70" s="14"/>
      <c r="S70" s="14"/>
      <c r="T70" s="14"/>
      <c r="U70" s="14"/>
      <c r="V70" s="428"/>
      <c r="W70" s="14"/>
      <c r="X70" s="14"/>
      <c r="Y70" s="14"/>
      <c r="Z70" s="14"/>
      <c r="AA70" s="14"/>
      <c r="AB70" s="14"/>
      <c r="AC70" s="14"/>
      <c r="AD70" s="428"/>
      <c r="AE70" s="14"/>
      <c r="AF70" s="14"/>
      <c r="AG70" s="14"/>
      <c r="AH70" s="14"/>
      <c r="AI70" s="14"/>
      <c r="AJ70" s="14"/>
    </row>
    <row r="71" spans="1:38" ht="13" hidden="1" customHeight="1" x14ac:dyDescent="0.15">
      <c r="A71" t="str">
        <f>Nutrients!B71</f>
        <v>Soybeans, Full Fat</v>
      </c>
      <c r="B71" s="14"/>
      <c r="C71" s="14"/>
      <c r="D71" s="14"/>
      <c r="E71" s="14"/>
      <c r="F71" s="14"/>
      <c r="G71" s="14"/>
      <c r="H71" s="428"/>
      <c r="I71" s="14"/>
      <c r="J71" s="14"/>
      <c r="K71" s="14"/>
      <c r="L71" s="14"/>
      <c r="M71" s="14"/>
      <c r="N71" s="14"/>
      <c r="O71" s="428"/>
      <c r="P71" s="14"/>
      <c r="Q71" s="14"/>
      <c r="R71" s="14"/>
      <c r="S71" s="14"/>
      <c r="T71" s="14"/>
      <c r="U71" s="14"/>
      <c r="V71" s="428"/>
      <c r="W71" s="14"/>
      <c r="X71" s="14"/>
      <c r="Y71" s="14"/>
      <c r="Z71" s="14"/>
      <c r="AA71" s="14"/>
      <c r="AB71" s="14"/>
      <c r="AC71" s="14"/>
      <c r="AD71" s="428"/>
      <c r="AE71" s="14"/>
      <c r="AF71" s="14"/>
      <c r="AG71" s="14"/>
      <c r="AH71" s="14"/>
      <c r="AI71" s="14"/>
      <c r="AJ71" s="14"/>
      <c r="AK71" s="14"/>
      <c r="AL71" s="14"/>
    </row>
    <row r="72" spans="1:38" ht="13" hidden="1" customHeight="1" x14ac:dyDescent="0.15">
      <c r="A72" t="str">
        <f>Nutrients!B72</f>
        <v>Soybeans, High Protein, Full Fat</v>
      </c>
      <c r="B72" s="14"/>
      <c r="C72" s="14"/>
      <c r="D72" s="14"/>
      <c r="E72" s="14"/>
      <c r="F72" s="14"/>
      <c r="G72" s="14"/>
      <c r="H72" s="428"/>
      <c r="I72" s="14"/>
      <c r="J72" s="14"/>
      <c r="K72" s="14"/>
      <c r="L72" s="14"/>
      <c r="M72" s="14"/>
      <c r="N72" s="14"/>
      <c r="O72" s="428"/>
      <c r="P72" s="14"/>
      <c r="Q72" s="14"/>
      <c r="R72" s="14"/>
      <c r="S72" s="14"/>
      <c r="T72" s="14"/>
      <c r="U72" s="14"/>
      <c r="V72" s="428"/>
      <c r="W72" s="14"/>
      <c r="X72" s="14"/>
      <c r="Y72" s="14"/>
      <c r="Z72" s="14"/>
      <c r="AA72" s="14"/>
      <c r="AB72" s="14"/>
      <c r="AC72" s="14"/>
      <c r="AD72" s="428"/>
      <c r="AE72" s="14"/>
      <c r="AF72" s="14"/>
      <c r="AG72" s="14"/>
      <c r="AH72" s="14"/>
      <c r="AI72" s="14"/>
      <c r="AJ72" s="14"/>
      <c r="AK72" s="14"/>
      <c r="AL72" s="14"/>
    </row>
    <row r="73" spans="1:38" ht="13" hidden="1" customHeight="1" x14ac:dyDescent="0.15">
      <c r="A73" t="str">
        <f>Nutrients!B73</f>
        <v>Soybeans, Low Oligosaccharide, Full Fat</v>
      </c>
      <c r="B73" s="14"/>
      <c r="C73" s="14"/>
      <c r="D73" s="14"/>
      <c r="E73" s="14"/>
      <c r="F73" s="14"/>
      <c r="G73" s="14"/>
      <c r="H73" s="428"/>
      <c r="I73" s="14"/>
      <c r="J73" s="14"/>
      <c r="K73" s="14"/>
      <c r="L73" s="14"/>
      <c r="M73" s="14"/>
      <c r="N73" s="14"/>
      <c r="O73" s="428"/>
      <c r="P73" s="14"/>
      <c r="Q73" s="14"/>
      <c r="R73" s="14"/>
      <c r="S73" s="14"/>
      <c r="T73" s="14"/>
      <c r="U73" s="14"/>
      <c r="V73" s="428"/>
      <c r="W73" s="14"/>
      <c r="X73" s="14"/>
      <c r="Y73" s="14"/>
      <c r="Z73" s="14"/>
      <c r="AA73" s="14"/>
      <c r="AB73" s="14"/>
      <c r="AC73" s="14"/>
      <c r="AD73" s="428"/>
      <c r="AE73" s="14"/>
      <c r="AF73" s="14"/>
      <c r="AG73" s="14"/>
      <c r="AH73" s="14"/>
      <c r="AI73" s="14"/>
      <c r="AJ73" s="14"/>
      <c r="AK73" s="14"/>
      <c r="AL73" s="14"/>
    </row>
    <row r="74" spans="1:38" ht="13" hidden="1" customHeight="1" x14ac:dyDescent="0.15">
      <c r="A74" t="str">
        <f>Nutrients!B74</f>
        <v>Soybean Meal, High Protein, Expelled</v>
      </c>
      <c r="B74" s="14"/>
      <c r="C74" s="14"/>
      <c r="D74" s="14"/>
      <c r="E74" s="14"/>
      <c r="F74" s="14"/>
      <c r="G74" s="14"/>
      <c r="H74" s="428"/>
      <c r="I74" s="14"/>
      <c r="J74" s="14"/>
      <c r="K74" s="14"/>
      <c r="L74" s="14"/>
      <c r="M74" s="14"/>
      <c r="N74" s="14"/>
      <c r="O74" s="428"/>
      <c r="P74" s="14"/>
      <c r="Q74" s="14"/>
      <c r="R74" s="14"/>
      <c r="S74" s="14"/>
      <c r="T74" s="14"/>
      <c r="U74" s="14"/>
      <c r="V74" s="428"/>
      <c r="W74" s="14"/>
      <c r="X74" s="14"/>
      <c r="Y74" s="14"/>
      <c r="Z74" s="14"/>
      <c r="AA74" s="14"/>
      <c r="AB74" s="14"/>
      <c r="AC74" s="14"/>
      <c r="AD74" s="428"/>
      <c r="AE74" s="14"/>
      <c r="AF74" s="14"/>
      <c r="AG74" s="14"/>
      <c r="AH74" s="14"/>
      <c r="AI74" s="14"/>
      <c r="AJ74" s="14"/>
      <c r="AK74" s="14"/>
      <c r="AL74" s="14"/>
    </row>
    <row r="75" spans="1:38" ht="13" hidden="1" customHeight="1" x14ac:dyDescent="0.15">
      <c r="A75" t="str">
        <f>Nutrients!B75</f>
        <v>Soybean Meal, Low Oligosacch, Expell</v>
      </c>
      <c r="B75" s="14"/>
      <c r="C75" s="14"/>
      <c r="D75" s="14"/>
      <c r="E75" s="14"/>
      <c r="F75" s="14"/>
      <c r="G75" s="14"/>
      <c r="H75" s="428"/>
      <c r="I75" s="14"/>
      <c r="J75" s="14"/>
      <c r="K75" s="14"/>
      <c r="L75" s="14"/>
      <c r="M75" s="14"/>
      <c r="N75" s="14"/>
      <c r="O75" s="428"/>
      <c r="P75" s="14"/>
      <c r="Q75" s="14"/>
      <c r="R75" s="14"/>
      <c r="S75" s="14"/>
      <c r="T75" s="14"/>
      <c r="U75" s="14"/>
      <c r="V75" s="428"/>
      <c r="W75" s="14"/>
      <c r="X75" s="14"/>
      <c r="Y75" s="14"/>
      <c r="Z75" s="14"/>
      <c r="AA75" s="14"/>
      <c r="AB75" s="14"/>
      <c r="AC75" s="14"/>
      <c r="AD75" s="428"/>
      <c r="AE75" s="14"/>
      <c r="AF75" s="14"/>
      <c r="AG75" s="14"/>
      <c r="AH75" s="14"/>
      <c r="AI75" s="14"/>
      <c r="AJ75" s="14"/>
      <c r="AK75" s="14"/>
      <c r="AL75" s="14"/>
    </row>
    <row r="76" spans="1:38" ht="13" hidden="1" customHeight="1" x14ac:dyDescent="0.15">
      <c r="A76" t="str">
        <f>Nutrients!B76</f>
        <v>Soybean Meal, Expelled</v>
      </c>
      <c r="B76" s="14"/>
      <c r="C76" s="14"/>
      <c r="D76" s="14"/>
      <c r="E76" s="14"/>
      <c r="F76" s="14"/>
      <c r="G76" s="14"/>
      <c r="H76" s="428"/>
      <c r="I76" s="14"/>
      <c r="J76" s="14"/>
      <c r="K76" s="14"/>
      <c r="L76" s="14"/>
      <c r="M76" s="14"/>
      <c r="N76" s="14"/>
      <c r="O76" s="428"/>
      <c r="P76" s="14"/>
      <c r="Q76" s="14"/>
      <c r="R76" s="14"/>
      <c r="S76" s="14"/>
      <c r="T76" s="14"/>
      <c r="U76" s="14"/>
      <c r="V76" s="428"/>
      <c r="W76" s="14"/>
      <c r="X76" s="14"/>
      <c r="Y76" s="14"/>
      <c r="Z76" s="14"/>
      <c r="AA76" s="14"/>
      <c r="AB76" s="14"/>
      <c r="AC76" s="14"/>
      <c r="AD76" s="428"/>
      <c r="AE76" s="14"/>
      <c r="AF76" s="14"/>
      <c r="AG76" s="14"/>
      <c r="AH76" s="14"/>
      <c r="AI76" s="14"/>
      <c r="AJ76" s="14"/>
      <c r="AK76" s="14"/>
      <c r="AL76" s="14"/>
    </row>
    <row r="77" spans="1:38" ht="13" hidden="1" customHeight="1" x14ac:dyDescent="0.15">
      <c r="A77" t="str">
        <f>Nutrients!B77</f>
        <v>Soybean Meal, Dehulled, Expelled</v>
      </c>
      <c r="B77" s="14"/>
      <c r="C77" s="14"/>
      <c r="D77" s="14"/>
      <c r="E77" s="14"/>
      <c r="F77" s="14"/>
      <c r="G77" s="14"/>
      <c r="H77" s="428"/>
      <c r="I77" s="14"/>
      <c r="J77" s="14"/>
      <c r="K77" s="14"/>
      <c r="L77" s="14"/>
      <c r="M77" s="14"/>
      <c r="N77" s="14"/>
      <c r="O77" s="428"/>
      <c r="P77" s="14"/>
      <c r="Q77" s="14"/>
      <c r="R77" s="14"/>
      <c r="S77" s="14"/>
      <c r="T77" s="14"/>
      <c r="U77" s="14"/>
      <c r="V77" s="428"/>
      <c r="W77" s="14"/>
      <c r="X77" s="14"/>
      <c r="Y77" s="14"/>
      <c r="Z77" s="14"/>
      <c r="AA77" s="14"/>
      <c r="AB77" s="14"/>
      <c r="AC77" s="14"/>
      <c r="AD77" s="428"/>
      <c r="AE77" s="14"/>
      <c r="AF77" s="14"/>
      <c r="AG77" s="14"/>
      <c r="AH77" s="14"/>
      <c r="AI77" s="14"/>
      <c r="AJ77" s="14"/>
      <c r="AK77" s="14"/>
      <c r="AL77" s="14"/>
    </row>
    <row r="78" spans="1:38" ht="13" hidden="1" customHeight="1" x14ac:dyDescent="0.15">
      <c r="A78" t="str">
        <f>Nutrients!B78</f>
        <v>Soybean Meal, Solvent Extracted</v>
      </c>
      <c r="B78" s="14"/>
      <c r="C78" s="14"/>
      <c r="D78" s="14"/>
      <c r="E78" s="14"/>
      <c r="F78" s="14"/>
      <c r="G78" s="14"/>
      <c r="H78" s="428"/>
      <c r="I78" s="14"/>
      <c r="J78" s="14"/>
      <c r="K78" s="14"/>
      <c r="L78" s="14"/>
      <c r="M78" s="14"/>
      <c r="N78" s="14"/>
      <c r="O78" s="428"/>
      <c r="P78" s="14"/>
      <c r="Q78" s="14"/>
      <c r="R78" s="14"/>
      <c r="S78" s="14"/>
      <c r="T78" s="14"/>
      <c r="U78" s="14"/>
      <c r="V78" s="428"/>
      <c r="W78" s="14"/>
      <c r="X78" s="14"/>
      <c r="Y78" s="14"/>
      <c r="Z78" s="14"/>
      <c r="AA78" s="14"/>
      <c r="AB78" s="14"/>
      <c r="AC78" s="14"/>
      <c r="AD78" s="428"/>
      <c r="AE78" s="14"/>
      <c r="AF78" s="14"/>
      <c r="AG78" s="14"/>
      <c r="AH78" s="14"/>
      <c r="AI78" s="14"/>
      <c r="AJ78" s="14"/>
      <c r="AK78" s="14"/>
      <c r="AL78" s="14"/>
    </row>
    <row r="79" spans="1:38" ht="13" hidden="1" customHeight="1" x14ac:dyDescent="0.15">
      <c r="A79" t="str">
        <f>Nutrients!B79</f>
        <v>Soybean Meal, Dehull, Sol Extr</v>
      </c>
      <c r="B79" s="14"/>
      <c r="C79" s="14"/>
      <c r="D79" s="14"/>
      <c r="E79" s="14"/>
      <c r="F79" s="14"/>
      <c r="G79" s="14"/>
      <c r="H79" s="428"/>
      <c r="I79" s="14"/>
      <c r="J79" s="14"/>
      <c r="K79" s="14"/>
      <c r="L79" s="14"/>
      <c r="M79" s="14"/>
      <c r="N79" s="14"/>
      <c r="O79" s="428"/>
      <c r="P79" s="14"/>
      <c r="Q79" s="14"/>
      <c r="R79" s="14"/>
      <c r="S79" s="14"/>
      <c r="T79" s="14"/>
      <c r="U79" s="14"/>
      <c r="V79" s="428"/>
      <c r="W79" s="14"/>
      <c r="X79" s="14"/>
      <c r="Y79" s="14"/>
      <c r="Z79" s="14"/>
      <c r="AA79" s="14"/>
      <c r="AB79" s="14"/>
      <c r="AC79" s="14"/>
      <c r="AD79" s="428"/>
      <c r="AE79" s="14"/>
      <c r="AF79" s="14"/>
      <c r="AG79" s="14"/>
      <c r="AH79" s="14"/>
      <c r="AI79" s="14"/>
      <c r="AJ79" s="14"/>
      <c r="AK79" s="14"/>
      <c r="AL79" s="14"/>
    </row>
    <row r="80" spans="1:38" ht="13" hidden="1" customHeight="1" x14ac:dyDescent="0.15">
      <c r="A80" t="str">
        <f>Nutrients!B80</f>
        <v>Soybean Meal, High Prot, Dehull, Solv Extr</v>
      </c>
      <c r="B80" s="14"/>
      <c r="C80" s="14"/>
      <c r="D80" s="14"/>
      <c r="E80" s="14"/>
      <c r="F80" s="14"/>
      <c r="G80" s="14"/>
      <c r="H80" s="428"/>
      <c r="I80" s="14"/>
      <c r="J80" s="14"/>
      <c r="K80" s="14"/>
      <c r="L80" s="14"/>
      <c r="M80" s="14"/>
      <c r="N80" s="14"/>
      <c r="O80" s="428"/>
      <c r="P80" s="14"/>
      <c r="Q80" s="14"/>
      <c r="R80" s="14"/>
      <c r="S80" s="14"/>
      <c r="T80" s="14"/>
      <c r="U80" s="14"/>
      <c r="V80" s="428"/>
      <c r="W80" s="14"/>
      <c r="X80" s="14"/>
      <c r="Y80" s="14"/>
      <c r="Z80" s="14"/>
      <c r="AA80" s="14"/>
      <c r="AB80" s="14"/>
      <c r="AC80" s="14"/>
      <c r="AD80" s="428"/>
      <c r="AE80" s="14"/>
      <c r="AF80" s="14"/>
      <c r="AG80" s="14"/>
      <c r="AH80" s="14"/>
      <c r="AI80" s="14"/>
      <c r="AJ80" s="14"/>
      <c r="AK80" s="14"/>
      <c r="AL80" s="14"/>
    </row>
    <row r="81" spans="1:38" ht="13" hidden="1" customHeight="1" x14ac:dyDescent="0.15">
      <c r="A81" t="str">
        <f>Nutrients!B81</f>
        <v>Soybean Meal, Enzyme Treated</v>
      </c>
      <c r="B81" s="14"/>
      <c r="C81" s="14"/>
      <c r="D81" s="14"/>
      <c r="E81" s="14"/>
      <c r="F81" s="14"/>
      <c r="G81" s="14"/>
      <c r="H81" s="428"/>
      <c r="I81" s="14"/>
      <c r="J81" s="14"/>
      <c r="K81" s="14"/>
      <c r="L81" s="14"/>
      <c r="M81" s="14"/>
      <c r="N81" s="14"/>
      <c r="O81" s="428"/>
      <c r="P81" s="14"/>
      <c r="Q81" s="14"/>
      <c r="R81" s="14"/>
      <c r="S81" s="14"/>
      <c r="T81" s="14"/>
      <c r="U81" s="14"/>
      <c r="V81" s="428"/>
      <c r="W81" s="14"/>
      <c r="X81" s="14"/>
      <c r="Y81" s="14"/>
      <c r="Z81" s="14"/>
      <c r="AA81" s="14"/>
      <c r="AB81" s="14"/>
      <c r="AC81" s="14"/>
      <c r="AD81" s="428"/>
      <c r="AE81" s="14"/>
      <c r="AF81" s="14"/>
      <c r="AG81" s="14"/>
      <c r="AH81" s="14"/>
      <c r="AI81" s="14"/>
      <c r="AJ81" s="14"/>
      <c r="AK81" s="14"/>
      <c r="AL81" s="14"/>
    </row>
    <row r="82" spans="1:38" ht="13" hidden="1" customHeight="1" x14ac:dyDescent="0.15">
      <c r="A82" t="str">
        <f>Nutrients!B82</f>
        <v>Soybean Meal, Fermented</v>
      </c>
      <c r="B82" s="14"/>
      <c r="C82" s="14"/>
      <c r="D82" s="14"/>
      <c r="E82" s="14"/>
      <c r="F82" s="14"/>
      <c r="G82" s="14"/>
      <c r="H82" s="428"/>
      <c r="I82" s="14"/>
      <c r="J82" s="14"/>
      <c r="K82" s="14"/>
      <c r="L82" s="14"/>
      <c r="M82" s="14"/>
      <c r="N82" s="14"/>
      <c r="O82" s="428"/>
      <c r="P82" s="14"/>
      <c r="Q82" s="14"/>
      <c r="R82" s="14"/>
      <c r="S82" s="14"/>
      <c r="T82" s="14"/>
      <c r="U82" s="14"/>
      <c r="V82" s="428"/>
      <c r="W82" s="14"/>
      <c r="X82" s="14"/>
      <c r="Y82" s="14"/>
      <c r="Z82" s="14"/>
      <c r="AA82" s="14"/>
      <c r="AB82" s="14"/>
      <c r="AC82" s="14"/>
      <c r="AD82" s="428"/>
      <c r="AE82" s="14"/>
      <c r="AF82" s="14"/>
      <c r="AG82" s="14"/>
      <c r="AH82" s="14"/>
      <c r="AI82" s="14"/>
      <c r="AJ82" s="14"/>
      <c r="AK82" s="14"/>
      <c r="AL82" s="14"/>
    </row>
    <row r="83" spans="1:38" ht="13" hidden="1" customHeight="1" x14ac:dyDescent="0.15">
      <c r="A83" t="str">
        <f>Nutrients!B83</f>
        <v>Soybean Hulls</v>
      </c>
      <c r="B83" s="14"/>
      <c r="C83" s="14"/>
      <c r="D83" s="14"/>
      <c r="E83" s="14"/>
      <c r="F83" s="14"/>
      <c r="G83" s="14"/>
      <c r="H83" s="428"/>
      <c r="I83" s="14"/>
      <c r="J83" s="14"/>
      <c r="K83" s="14"/>
      <c r="L83" s="14"/>
      <c r="M83" s="14"/>
      <c r="N83" s="14"/>
      <c r="O83" s="428"/>
      <c r="P83" s="14"/>
      <c r="Q83" s="14"/>
      <c r="R83" s="14"/>
      <c r="S83" s="14"/>
      <c r="T83" s="14"/>
      <c r="U83" s="14"/>
      <c r="V83" s="428"/>
      <c r="W83" s="14"/>
      <c r="X83" s="14"/>
      <c r="Y83" s="14"/>
      <c r="Z83" s="14"/>
      <c r="AA83" s="14"/>
      <c r="AB83" s="14"/>
      <c r="AC83" s="14"/>
      <c r="AD83" s="428"/>
      <c r="AE83" s="14"/>
      <c r="AF83" s="14"/>
      <c r="AG83" s="14"/>
      <c r="AH83" s="14"/>
      <c r="AI83" s="14"/>
      <c r="AJ83" s="14"/>
      <c r="AK83" s="14"/>
      <c r="AL83" s="14"/>
    </row>
    <row r="84" spans="1:38" ht="13" hidden="1" customHeight="1" x14ac:dyDescent="0.15">
      <c r="A84" t="str">
        <f>Nutrients!B84</f>
        <v>Soy Protein Concentrate</v>
      </c>
      <c r="B84" s="14"/>
      <c r="C84" s="14"/>
      <c r="D84" s="14"/>
      <c r="E84" s="14"/>
      <c r="F84" s="14"/>
      <c r="G84" s="14"/>
      <c r="H84" s="428"/>
      <c r="I84" s="14"/>
      <c r="J84" s="14"/>
      <c r="K84" s="14"/>
      <c r="L84" s="14"/>
      <c r="M84" s="14"/>
      <c r="N84" s="14"/>
      <c r="O84" s="428"/>
      <c r="P84" s="14"/>
      <c r="Q84" s="14"/>
      <c r="R84" s="14"/>
      <c r="S84" s="14"/>
      <c r="T84" s="14"/>
      <c r="U84" s="14"/>
      <c r="V84" s="428"/>
      <c r="W84" s="14"/>
      <c r="X84" s="14"/>
      <c r="Y84" s="14"/>
      <c r="Z84" s="14"/>
      <c r="AA84" s="14"/>
      <c r="AB84" s="14"/>
      <c r="AC84" s="14"/>
      <c r="AD84" s="428"/>
      <c r="AE84" s="14"/>
      <c r="AF84" s="14"/>
      <c r="AG84" s="14"/>
      <c r="AH84" s="14"/>
      <c r="AI84" s="14"/>
      <c r="AJ84" s="14"/>
      <c r="AK84" s="14"/>
      <c r="AL84" s="14"/>
    </row>
    <row r="85" spans="1:38" ht="13" hidden="1" customHeight="1" x14ac:dyDescent="0.15">
      <c r="A85" t="str">
        <f>Nutrients!B85</f>
        <v>Soy Protein Isolate</v>
      </c>
      <c r="B85" s="14"/>
      <c r="C85" s="14"/>
      <c r="D85" s="14"/>
      <c r="E85" s="14"/>
      <c r="F85" s="14"/>
      <c r="G85" s="14"/>
      <c r="H85" s="428"/>
      <c r="I85" s="14"/>
      <c r="J85" s="14"/>
      <c r="K85" s="14"/>
      <c r="L85" s="14"/>
      <c r="M85" s="14"/>
      <c r="N85" s="14"/>
      <c r="O85" s="428"/>
      <c r="P85" s="14"/>
      <c r="Q85" s="14"/>
      <c r="R85" s="14"/>
      <c r="S85" s="14"/>
      <c r="T85" s="14"/>
      <c r="U85" s="14"/>
      <c r="V85" s="428"/>
      <c r="W85" s="14"/>
      <c r="X85" s="14"/>
      <c r="Y85" s="14"/>
      <c r="Z85" s="14"/>
      <c r="AA85" s="14"/>
      <c r="AB85" s="14"/>
      <c r="AC85" s="14"/>
      <c r="AD85" s="428"/>
      <c r="AE85" s="14"/>
      <c r="AF85" s="14"/>
      <c r="AG85" s="14"/>
      <c r="AH85" s="14"/>
      <c r="AI85" s="14"/>
      <c r="AJ85" s="14"/>
      <c r="AK85" s="14"/>
      <c r="AL85" s="14"/>
    </row>
    <row r="86" spans="1:38" ht="13" hidden="1" customHeight="1" x14ac:dyDescent="0.15">
      <c r="A86" t="str">
        <f>Nutrients!B86</f>
        <v>Sugar Beet Pulp</v>
      </c>
      <c r="B86" s="14"/>
      <c r="C86" s="14"/>
      <c r="D86" s="14"/>
      <c r="E86" s="14"/>
      <c r="F86" s="14"/>
      <c r="G86" s="14"/>
      <c r="H86" s="428"/>
      <c r="I86" s="14"/>
      <c r="J86" s="14"/>
      <c r="K86" s="14"/>
      <c r="L86" s="14"/>
      <c r="M86" s="14"/>
      <c r="N86" s="14"/>
      <c r="O86" s="428"/>
      <c r="P86" s="14"/>
      <c r="Q86" s="14"/>
      <c r="R86" s="14"/>
      <c r="S86" s="14"/>
      <c r="T86" s="14"/>
      <c r="U86" s="14"/>
      <c r="V86" s="428"/>
      <c r="W86" s="14"/>
      <c r="X86" s="14"/>
      <c r="Y86" s="14"/>
      <c r="Z86" s="14"/>
      <c r="AA86" s="14"/>
      <c r="AB86" s="14"/>
      <c r="AC86" s="14"/>
      <c r="AD86" s="428"/>
      <c r="AE86" s="14"/>
      <c r="AF86" s="14"/>
      <c r="AG86" s="14"/>
      <c r="AH86" s="14"/>
      <c r="AI86" s="14"/>
      <c r="AJ86" s="14"/>
      <c r="AK86" s="14"/>
      <c r="AL86" s="14"/>
    </row>
    <row r="87" spans="1:38" ht="13" hidden="1" customHeight="1" x14ac:dyDescent="0.15">
      <c r="A87" t="str">
        <f>Nutrients!B87</f>
        <v>Sunflower, Full Fat</v>
      </c>
      <c r="B87" s="14"/>
      <c r="C87" s="14"/>
      <c r="D87" s="14"/>
      <c r="E87" s="14"/>
      <c r="F87" s="14"/>
      <c r="G87" s="14"/>
      <c r="H87" s="428"/>
      <c r="I87" s="14"/>
      <c r="J87" s="14"/>
      <c r="K87" s="14"/>
      <c r="L87" s="14"/>
      <c r="M87" s="14"/>
      <c r="N87" s="14"/>
      <c r="O87" s="428"/>
      <c r="P87" s="14"/>
      <c r="Q87" s="14"/>
      <c r="R87" s="14"/>
      <c r="S87" s="14"/>
      <c r="T87" s="14"/>
      <c r="U87" s="14"/>
      <c r="V87" s="428"/>
      <c r="W87" s="14"/>
      <c r="X87" s="14"/>
      <c r="Y87" s="14"/>
      <c r="Z87" s="14"/>
      <c r="AA87" s="14"/>
      <c r="AB87" s="14"/>
      <c r="AC87" s="14"/>
      <c r="AD87" s="428"/>
      <c r="AE87" s="14"/>
      <c r="AF87" s="14"/>
      <c r="AG87" s="14"/>
      <c r="AH87" s="14"/>
      <c r="AI87" s="14"/>
      <c r="AJ87" s="14"/>
      <c r="AK87" s="14"/>
      <c r="AL87" s="14"/>
    </row>
    <row r="88" spans="1:38" ht="13" hidden="1" customHeight="1" x14ac:dyDescent="0.15">
      <c r="A88" t="str">
        <f>Nutrients!B88</f>
        <v>Sunflower Meal, Solvent Extracted</v>
      </c>
      <c r="B88" s="14"/>
      <c r="C88" s="14"/>
      <c r="D88" s="14"/>
      <c r="E88" s="14"/>
      <c r="F88" s="14"/>
      <c r="G88" s="14"/>
      <c r="H88" s="428"/>
      <c r="I88" s="14"/>
      <c r="J88" s="14"/>
      <c r="K88" s="14"/>
      <c r="L88" s="14"/>
      <c r="M88" s="14"/>
      <c r="N88" s="14"/>
      <c r="O88" s="428"/>
      <c r="P88" s="14"/>
      <c r="Q88" s="14"/>
      <c r="R88" s="14"/>
      <c r="S88" s="14"/>
      <c r="T88" s="14"/>
      <c r="U88" s="14"/>
      <c r="V88" s="428"/>
      <c r="W88" s="14"/>
      <c r="X88" s="14"/>
      <c r="Y88" s="14"/>
      <c r="Z88" s="14"/>
      <c r="AA88" s="14"/>
      <c r="AB88" s="14"/>
      <c r="AC88" s="14"/>
      <c r="AD88" s="428"/>
      <c r="AE88" s="14"/>
      <c r="AF88" s="14"/>
      <c r="AG88" s="14"/>
      <c r="AH88" s="14"/>
      <c r="AI88" s="14"/>
      <c r="AJ88" s="14"/>
      <c r="AK88" s="14"/>
      <c r="AL88" s="14"/>
    </row>
    <row r="89" spans="1:38" ht="13" hidden="1" customHeight="1" x14ac:dyDescent="0.15">
      <c r="A89" t="str">
        <f>Nutrients!B89</f>
        <v>Sunflower Meal, Dehulled, Solvent Extr</v>
      </c>
      <c r="B89" s="14"/>
      <c r="C89" s="14"/>
      <c r="D89" s="14"/>
      <c r="E89" s="14"/>
      <c r="F89" s="14"/>
      <c r="G89" s="14"/>
      <c r="H89" s="428"/>
      <c r="I89" s="14"/>
      <c r="J89" s="14"/>
      <c r="K89" s="14"/>
      <c r="L89" s="14"/>
      <c r="M89" s="14"/>
      <c r="N89" s="14"/>
      <c r="O89" s="428"/>
      <c r="P89" s="14"/>
      <c r="Q89" s="14"/>
      <c r="R89" s="14"/>
      <c r="S89" s="14"/>
      <c r="T89" s="14"/>
      <c r="U89" s="14"/>
      <c r="V89" s="428"/>
      <c r="W89" s="14"/>
      <c r="X89" s="14"/>
      <c r="Y89" s="14"/>
      <c r="Z89" s="14"/>
      <c r="AA89" s="14"/>
      <c r="AB89" s="14"/>
      <c r="AC89" s="14"/>
      <c r="AD89" s="428"/>
      <c r="AE89" s="14"/>
      <c r="AF89" s="14"/>
      <c r="AG89" s="14"/>
      <c r="AH89" s="14"/>
      <c r="AI89" s="14"/>
      <c r="AJ89" s="14"/>
      <c r="AK89" s="14"/>
      <c r="AL89" s="14"/>
    </row>
    <row r="90" spans="1:38" ht="13" hidden="1" customHeight="1" x14ac:dyDescent="0.15">
      <c r="A90" t="str">
        <f>Nutrients!B90</f>
        <v>Triticale</v>
      </c>
      <c r="B90" s="14"/>
      <c r="C90" s="14"/>
      <c r="D90" s="14"/>
      <c r="E90" s="14"/>
      <c r="F90" s="14"/>
      <c r="G90" s="14"/>
      <c r="H90" s="428"/>
      <c r="I90" s="14"/>
      <c r="J90" s="14"/>
      <c r="K90" s="14"/>
      <c r="L90" s="14"/>
      <c r="M90" s="14"/>
      <c r="N90" s="14"/>
      <c r="O90" s="428"/>
      <c r="P90" s="14"/>
      <c r="Q90" s="14"/>
      <c r="R90" s="14"/>
      <c r="S90" s="14"/>
      <c r="T90" s="14"/>
      <c r="U90" s="14"/>
      <c r="V90" s="428"/>
      <c r="W90" s="14"/>
      <c r="X90" s="14"/>
      <c r="Y90" s="14"/>
      <c r="Z90" s="14"/>
      <c r="AA90" s="14"/>
      <c r="AB90" s="14"/>
      <c r="AC90" s="14"/>
      <c r="AD90" s="428"/>
      <c r="AE90" s="14"/>
      <c r="AF90" s="14"/>
      <c r="AG90" s="14"/>
      <c r="AH90" s="14"/>
      <c r="AI90" s="14"/>
      <c r="AJ90" s="14"/>
      <c r="AK90" s="14"/>
      <c r="AL90" s="14"/>
    </row>
    <row r="91" spans="1:38" ht="13" hidden="1" customHeight="1" x14ac:dyDescent="0.15">
      <c r="A91" t="str">
        <f>Nutrients!B91</f>
        <v>Wheat, Hard Red</v>
      </c>
      <c r="B91" s="14"/>
      <c r="C91" s="14"/>
      <c r="D91" s="14"/>
      <c r="E91" s="14"/>
      <c r="F91" s="14"/>
      <c r="G91" s="14"/>
      <c r="H91" s="428"/>
      <c r="I91" s="14"/>
      <c r="J91" s="14"/>
      <c r="K91" s="14"/>
      <c r="L91" s="14"/>
      <c r="M91" s="14"/>
      <c r="N91" s="14"/>
      <c r="O91" s="428"/>
      <c r="P91" s="14"/>
      <c r="Q91" s="14"/>
      <c r="R91" s="14"/>
      <c r="S91" s="14"/>
      <c r="T91" s="14"/>
      <c r="U91" s="14"/>
      <c r="V91" s="428"/>
      <c r="W91" s="14"/>
      <c r="X91" s="14"/>
      <c r="Y91" s="14"/>
      <c r="Z91" s="14"/>
      <c r="AA91" s="14"/>
      <c r="AB91" s="14"/>
      <c r="AC91" s="14"/>
      <c r="AD91" s="428"/>
      <c r="AE91" s="14"/>
      <c r="AF91" s="14"/>
      <c r="AG91" s="14"/>
      <c r="AH91" s="14"/>
      <c r="AI91" s="14"/>
      <c r="AJ91" s="14"/>
      <c r="AK91" s="14"/>
      <c r="AL91" s="14"/>
    </row>
    <row r="92" spans="1:38" ht="13" hidden="1" customHeight="1" x14ac:dyDescent="0.15">
      <c r="A92" t="str">
        <f>Nutrients!B92</f>
        <v>Wheat, Soft Red</v>
      </c>
      <c r="B92" s="14"/>
      <c r="C92" s="14"/>
      <c r="D92" s="14"/>
      <c r="E92" s="14"/>
      <c r="F92" s="14"/>
      <c r="G92" s="14"/>
      <c r="H92" s="428"/>
      <c r="I92" s="14"/>
      <c r="J92" s="14"/>
      <c r="K92" s="14"/>
      <c r="L92" s="14"/>
      <c r="M92" s="14"/>
      <c r="N92" s="14"/>
      <c r="O92" s="428"/>
      <c r="P92" s="14"/>
      <c r="Q92" s="14"/>
      <c r="R92" s="14"/>
      <c r="S92" s="14"/>
      <c r="T92" s="14"/>
      <c r="U92" s="14"/>
      <c r="V92" s="428"/>
      <c r="W92" s="14"/>
      <c r="X92" s="14"/>
      <c r="Y92" s="14"/>
      <c r="Z92" s="14"/>
      <c r="AA92" s="14"/>
      <c r="AB92" s="14"/>
      <c r="AC92" s="14"/>
      <c r="AD92" s="428"/>
      <c r="AE92" s="14"/>
      <c r="AF92" s="14"/>
      <c r="AG92" s="14"/>
      <c r="AH92" s="14"/>
      <c r="AI92" s="14"/>
      <c r="AJ92" s="14"/>
      <c r="AK92" s="14"/>
      <c r="AL92" s="14"/>
    </row>
    <row r="93" spans="1:38" ht="13" hidden="1" customHeight="1" x14ac:dyDescent="0.15">
      <c r="A93" t="str">
        <f>Nutrients!B93</f>
        <v>Wheat Bran</v>
      </c>
      <c r="B93" s="14"/>
      <c r="C93" s="14"/>
      <c r="D93" s="14"/>
      <c r="E93" s="14"/>
      <c r="F93" s="14"/>
      <c r="G93" s="14"/>
      <c r="H93" s="428"/>
      <c r="I93" s="14"/>
      <c r="J93" s="14"/>
      <c r="K93" s="14"/>
      <c r="L93" s="14"/>
      <c r="M93" s="14"/>
      <c r="N93" s="14"/>
      <c r="O93" s="428"/>
      <c r="P93" s="14"/>
      <c r="Q93" s="14"/>
      <c r="R93" s="14"/>
      <c r="S93" s="14"/>
      <c r="T93" s="14"/>
      <c r="U93" s="14"/>
      <c r="V93" s="428"/>
      <c r="W93" s="14"/>
      <c r="X93" s="14"/>
      <c r="Y93" s="14"/>
      <c r="Z93" s="14"/>
      <c r="AA93" s="14"/>
      <c r="AB93" s="14"/>
      <c r="AC93" s="14"/>
      <c r="AD93" s="428"/>
      <c r="AE93" s="14"/>
      <c r="AF93" s="14"/>
      <c r="AG93" s="14"/>
      <c r="AH93" s="14"/>
      <c r="AI93" s="14"/>
      <c r="AJ93" s="14"/>
      <c r="AK93" s="14"/>
      <c r="AL93" s="14"/>
    </row>
    <row r="94" spans="1:38" ht="13" hidden="1" customHeight="1" x14ac:dyDescent="0.15">
      <c r="A94" t="str">
        <f>Nutrients!B94</f>
        <v>Wheat Middlings</v>
      </c>
      <c r="B94" s="14"/>
      <c r="C94" s="14"/>
      <c r="D94" s="14"/>
      <c r="E94" s="14"/>
      <c r="F94" s="14"/>
      <c r="G94" s="14"/>
      <c r="H94" s="428"/>
      <c r="I94" s="14"/>
      <c r="J94" s="14"/>
      <c r="K94" s="14"/>
      <c r="L94" s="14"/>
      <c r="M94" s="14"/>
      <c r="N94" s="14"/>
      <c r="O94" s="428"/>
      <c r="P94" s="14"/>
      <c r="Q94" s="14"/>
      <c r="R94" s="14"/>
      <c r="S94" s="14"/>
      <c r="T94" s="14"/>
      <c r="U94" s="14"/>
      <c r="V94" s="428"/>
      <c r="W94" s="14"/>
      <c r="X94" s="14"/>
      <c r="Y94" s="14"/>
      <c r="Z94" s="14"/>
      <c r="AA94" s="14"/>
      <c r="AB94" s="14"/>
      <c r="AC94" s="14"/>
      <c r="AD94" s="428"/>
      <c r="AE94" s="14"/>
      <c r="AF94" s="14"/>
      <c r="AG94" s="14"/>
      <c r="AH94" s="14"/>
      <c r="AI94" s="14"/>
      <c r="AJ94" s="14"/>
      <c r="AK94" s="14"/>
      <c r="AL94" s="14"/>
    </row>
    <row r="95" spans="1:38" ht="13" hidden="1" customHeight="1" x14ac:dyDescent="0.15">
      <c r="A95" t="str">
        <f>Nutrients!B95</f>
        <v>Wheat Shorts</v>
      </c>
      <c r="B95" s="14"/>
      <c r="C95" s="14"/>
      <c r="D95" s="14"/>
      <c r="E95" s="14"/>
      <c r="F95" s="14"/>
      <c r="G95" s="14"/>
      <c r="H95" s="428"/>
      <c r="I95" s="14"/>
      <c r="J95" s="14"/>
      <c r="K95" s="14"/>
      <c r="L95" s="14"/>
      <c r="M95" s="14"/>
      <c r="N95" s="14"/>
      <c r="O95" s="428"/>
      <c r="P95" s="14"/>
      <c r="Q95" s="14"/>
      <c r="R95" s="14"/>
      <c r="S95" s="14"/>
      <c r="T95" s="14"/>
      <c r="U95" s="14"/>
      <c r="V95" s="428"/>
      <c r="W95" s="14"/>
      <c r="X95" s="14"/>
      <c r="Y95" s="14"/>
      <c r="Z95" s="14"/>
      <c r="AA95" s="14"/>
      <c r="AB95" s="14"/>
      <c r="AC95" s="14"/>
      <c r="AD95" s="428"/>
      <c r="AE95" s="14"/>
      <c r="AF95" s="14"/>
      <c r="AG95" s="14"/>
      <c r="AH95" s="14"/>
      <c r="AI95" s="14"/>
      <c r="AJ95" s="14"/>
      <c r="AK95" s="14"/>
      <c r="AL95" s="14"/>
    </row>
    <row r="96" spans="1:38" ht="13" hidden="1" customHeight="1" x14ac:dyDescent="0.15">
      <c r="A96" t="str">
        <f>Nutrients!B96</f>
        <v>Wheat DDGS</v>
      </c>
      <c r="B96" s="14"/>
      <c r="C96" s="14"/>
      <c r="D96" s="14"/>
      <c r="E96" s="14"/>
      <c r="F96" s="14"/>
      <c r="G96" s="14"/>
      <c r="H96" s="428"/>
      <c r="I96" s="14"/>
      <c r="J96" s="14"/>
      <c r="K96" s="14"/>
      <c r="L96" s="14"/>
      <c r="M96" s="14"/>
      <c r="N96" s="14"/>
      <c r="O96" s="428"/>
      <c r="P96" s="14"/>
      <c r="Q96" s="14"/>
      <c r="R96" s="14"/>
      <c r="S96" s="14"/>
      <c r="T96" s="14"/>
      <c r="U96" s="14"/>
      <c r="V96" s="428"/>
      <c r="W96" s="14"/>
      <c r="X96" s="14"/>
      <c r="Y96" s="14"/>
      <c r="Z96" s="14"/>
      <c r="AA96" s="14"/>
      <c r="AB96" s="14"/>
      <c r="AC96" s="14"/>
      <c r="AD96" s="428"/>
      <c r="AE96" s="14"/>
      <c r="AF96" s="14"/>
      <c r="AG96" s="14"/>
      <c r="AH96" s="14"/>
      <c r="AI96" s="14"/>
      <c r="AJ96" s="14"/>
      <c r="AK96" s="14"/>
      <c r="AL96" s="14"/>
    </row>
    <row r="97" spans="1:38" ht="13" hidden="1" customHeight="1" x14ac:dyDescent="0.15">
      <c r="A97" t="str">
        <f>Nutrients!B97</f>
        <v>Yeast, Brewers' Yeast</v>
      </c>
      <c r="B97" s="14"/>
      <c r="C97" s="14"/>
      <c r="D97" s="14"/>
      <c r="E97" s="14"/>
      <c r="F97" s="14"/>
      <c r="G97" s="14"/>
      <c r="H97" s="428"/>
      <c r="I97" s="14"/>
      <c r="J97" s="14"/>
      <c r="K97" s="14"/>
      <c r="L97" s="14"/>
      <c r="M97" s="14"/>
      <c r="N97" s="14"/>
      <c r="O97" s="428"/>
      <c r="P97" s="14"/>
      <c r="Q97" s="14"/>
      <c r="R97" s="14"/>
      <c r="S97" s="14"/>
      <c r="T97" s="14"/>
      <c r="U97" s="14"/>
      <c r="V97" s="428"/>
      <c r="W97" s="14"/>
      <c r="X97" s="14"/>
      <c r="Y97" s="14"/>
      <c r="Z97" s="14"/>
      <c r="AA97" s="14"/>
      <c r="AB97" s="14"/>
      <c r="AC97" s="14"/>
      <c r="AD97" s="428"/>
      <c r="AE97" s="14"/>
      <c r="AF97" s="14"/>
      <c r="AG97" s="14"/>
      <c r="AH97" s="14"/>
      <c r="AI97" s="14"/>
      <c r="AJ97" s="14"/>
      <c r="AK97" s="14"/>
      <c r="AL97" s="14"/>
    </row>
    <row r="98" spans="1:38" ht="13" hidden="1" customHeight="1" x14ac:dyDescent="0.15">
      <c r="A98" t="str">
        <f>Nutrients!B98</f>
        <v>Yeast, Single Cell Protein</v>
      </c>
      <c r="B98" s="14"/>
      <c r="C98" s="14"/>
      <c r="D98" s="14"/>
      <c r="E98" s="14"/>
      <c r="F98" s="14"/>
      <c r="G98" s="14"/>
      <c r="H98" s="428"/>
      <c r="I98" s="14"/>
      <c r="J98" s="14"/>
      <c r="K98" s="14"/>
      <c r="L98" s="14"/>
      <c r="M98" s="14"/>
      <c r="N98" s="14"/>
      <c r="O98" s="428"/>
      <c r="P98" s="14"/>
      <c r="Q98" s="14"/>
      <c r="R98" s="14"/>
      <c r="S98" s="14"/>
      <c r="T98" s="14"/>
      <c r="U98" s="14"/>
      <c r="V98" s="428"/>
      <c r="W98" s="14"/>
      <c r="X98" s="14"/>
      <c r="Y98" s="14"/>
      <c r="Z98" s="14"/>
      <c r="AA98" s="14"/>
      <c r="AB98" s="14"/>
      <c r="AC98" s="14"/>
      <c r="AD98" s="428"/>
      <c r="AE98" s="14"/>
      <c r="AF98" s="14"/>
      <c r="AG98" s="14"/>
      <c r="AH98" s="14"/>
      <c r="AI98" s="14"/>
      <c r="AJ98" s="14"/>
      <c r="AK98" s="14"/>
      <c r="AL98" s="14"/>
    </row>
    <row r="99" spans="1:38" ht="13" hidden="1" customHeight="1" x14ac:dyDescent="0.15">
      <c r="A99" t="str">
        <f>Nutrients!B99</f>
        <v>Beef Tallow</v>
      </c>
      <c r="B99" s="14"/>
      <c r="C99" s="14"/>
      <c r="D99" s="14"/>
      <c r="E99" s="14"/>
      <c r="F99" s="14"/>
      <c r="G99" s="14"/>
      <c r="H99" s="428"/>
      <c r="I99" s="14"/>
      <c r="J99" s="14"/>
      <c r="K99" s="14"/>
      <c r="L99" s="14"/>
      <c r="M99" s="14"/>
      <c r="N99" s="14"/>
      <c r="O99" s="428"/>
      <c r="P99" s="14"/>
      <c r="Q99" s="14"/>
      <c r="R99" s="14"/>
      <c r="S99" s="14"/>
      <c r="T99" s="14"/>
      <c r="U99" s="14"/>
      <c r="V99" s="428"/>
      <c r="W99" s="14"/>
      <c r="X99" s="14"/>
      <c r="Y99" s="14"/>
      <c r="Z99" s="14"/>
      <c r="AA99" s="14"/>
      <c r="AB99" s="14"/>
      <c r="AC99" s="14"/>
      <c r="AD99" s="428"/>
      <c r="AE99" s="14"/>
      <c r="AF99" s="14"/>
      <c r="AG99" s="14"/>
      <c r="AH99" s="14"/>
      <c r="AI99" s="14"/>
      <c r="AJ99" s="14"/>
      <c r="AK99" s="14"/>
      <c r="AL99" s="14"/>
    </row>
    <row r="100" spans="1:38" x14ac:dyDescent="0.15">
      <c r="A100" t="str">
        <f>Nutrients!B100</f>
        <v>Choice White Grease</v>
      </c>
      <c r="B100" s="14">
        <v>40</v>
      </c>
      <c r="C100" s="14">
        <v>45</v>
      </c>
      <c r="D100" s="14">
        <v>50</v>
      </c>
      <c r="E100" s="14">
        <v>55</v>
      </c>
      <c r="F100" s="14">
        <v>60</v>
      </c>
      <c r="G100" s="14">
        <v>64</v>
      </c>
      <c r="H100" s="428"/>
      <c r="I100" s="14">
        <v>33</v>
      </c>
      <c r="J100" s="14">
        <v>30</v>
      </c>
      <c r="K100" s="14">
        <v>28</v>
      </c>
      <c r="L100" s="14">
        <v>25</v>
      </c>
      <c r="M100" s="14">
        <v>23</v>
      </c>
      <c r="N100" s="14">
        <v>20</v>
      </c>
      <c r="O100" s="428"/>
      <c r="P100" s="14">
        <v>28</v>
      </c>
      <c r="Q100" s="14">
        <v>26</v>
      </c>
      <c r="R100" s="14">
        <v>25</v>
      </c>
      <c r="S100" s="14">
        <v>23</v>
      </c>
      <c r="T100" s="14">
        <v>21</v>
      </c>
      <c r="U100" s="14">
        <v>20</v>
      </c>
      <c r="V100" s="428"/>
      <c r="W100" s="14">
        <v>30</v>
      </c>
      <c r="X100" s="14">
        <v>28</v>
      </c>
      <c r="Y100" s="14">
        <v>26</v>
      </c>
      <c r="Z100" s="14">
        <v>25</v>
      </c>
      <c r="AA100" s="14">
        <v>23</v>
      </c>
      <c r="AB100" s="14">
        <v>21</v>
      </c>
      <c r="AC100" s="14">
        <v>20</v>
      </c>
      <c r="AD100" s="428"/>
      <c r="AE100" s="14">
        <v>8</v>
      </c>
      <c r="AF100" s="14">
        <v>10</v>
      </c>
      <c r="AG100" s="14">
        <v>12</v>
      </c>
      <c r="AH100" s="14">
        <v>14</v>
      </c>
      <c r="AI100" s="14">
        <v>16</v>
      </c>
      <c r="AJ100" s="14">
        <v>18</v>
      </c>
      <c r="AK100" s="14"/>
      <c r="AL100" s="14"/>
    </row>
    <row r="101" spans="1:38" ht="13" hidden="1" customHeight="1" x14ac:dyDescent="0.15">
      <c r="A101" t="str">
        <f>Nutrients!B101</f>
        <v>Poultry Fat</v>
      </c>
      <c r="B101" s="14"/>
      <c r="C101" s="14"/>
      <c r="D101" s="14"/>
      <c r="E101" s="14"/>
      <c r="F101" s="14"/>
      <c r="G101" s="14"/>
      <c r="H101" s="428"/>
      <c r="I101" s="14"/>
      <c r="J101" s="14"/>
      <c r="K101" s="14"/>
      <c r="L101" s="14"/>
      <c r="M101" s="14"/>
      <c r="N101" s="14"/>
      <c r="O101" s="428"/>
      <c r="P101" s="14"/>
      <c r="Q101" s="14"/>
      <c r="R101" s="14"/>
      <c r="S101" s="14"/>
      <c r="T101" s="14"/>
      <c r="U101" s="14"/>
      <c r="V101" s="428"/>
      <c r="W101" s="14"/>
      <c r="X101" s="14"/>
      <c r="Y101" s="14"/>
      <c r="Z101" s="14"/>
      <c r="AA101" s="14"/>
      <c r="AB101" s="14"/>
      <c r="AC101" s="14"/>
      <c r="AD101" s="428"/>
      <c r="AE101" s="14"/>
      <c r="AF101" s="14"/>
      <c r="AG101" s="14"/>
      <c r="AH101" s="14"/>
      <c r="AI101" s="14"/>
      <c r="AJ101" s="14"/>
      <c r="AK101" s="14"/>
      <c r="AL101" s="14"/>
    </row>
    <row r="102" spans="1:38" ht="13" hidden="1" customHeight="1" x14ac:dyDescent="0.15">
      <c r="A102" t="str">
        <f>Nutrients!B102</f>
        <v>Lard</v>
      </c>
      <c r="B102" s="14"/>
      <c r="C102" s="14"/>
      <c r="D102" s="14"/>
      <c r="E102" s="14"/>
      <c r="F102" s="14"/>
      <c r="G102" s="14"/>
      <c r="H102" s="428"/>
      <c r="I102" s="14"/>
      <c r="J102" s="14"/>
      <c r="K102" s="14"/>
      <c r="L102" s="14"/>
      <c r="M102" s="14"/>
      <c r="N102" s="14"/>
      <c r="O102" s="428"/>
      <c r="P102" s="14"/>
      <c r="Q102" s="14"/>
      <c r="R102" s="14"/>
      <c r="S102" s="14"/>
      <c r="T102" s="14"/>
      <c r="U102" s="14"/>
      <c r="V102" s="428"/>
      <c r="W102" s="14"/>
      <c r="X102" s="14"/>
      <c r="Y102" s="14"/>
      <c r="Z102" s="14"/>
      <c r="AA102" s="14"/>
      <c r="AB102" s="14"/>
      <c r="AC102" s="14"/>
      <c r="AD102" s="428"/>
      <c r="AE102" s="14"/>
      <c r="AF102" s="14"/>
      <c r="AG102" s="14"/>
      <c r="AH102" s="14"/>
      <c r="AI102" s="14"/>
      <c r="AJ102" s="14"/>
      <c r="AK102" s="14"/>
      <c r="AL102" s="14"/>
    </row>
    <row r="103" spans="1:38" ht="13" hidden="1" customHeight="1" x14ac:dyDescent="0.15">
      <c r="A103" t="str">
        <f>Nutrients!B103</f>
        <v>Restaurant Grease</v>
      </c>
      <c r="B103" s="14"/>
      <c r="C103" s="14"/>
      <c r="D103" s="14"/>
      <c r="E103" s="14"/>
      <c r="F103" s="14"/>
      <c r="G103" s="14"/>
      <c r="H103" s="428"/>
      <c r="I103" s="14"/>
      <c r="J103" s="14"/>
      <c r="K103" s="14"/>
      <c r="L103" s="14"/>
      <c r="M103" s="14"/>
      <c r="N103" s="14"/>
      <c r="O103" s="428"/>
      <c r="P103" s="14"/>
      <c r="Q103" s="14"/>
      <c r="R103" s="14"/>
      <c r="S103" s="14"/>
      <c r="T103" s="14"/>
      <c r="U103" s="14"/>
      <c r="V103" s="428"/>
      <c r="W103" s="14"/>
      <c r="X103" s="14"/>
      <c r="Y103" s="14"/>
      <c r="Z103" s="14"/>
      <c r="AA103" s="14"/>
      <c r="AB103" s="14"/>
      <c r="AC103" s="14"/>
      <c r="AD103" s="428"/>
      <c r="AE103" s="14"/>
      <c r="AF103" s="14"/>
      <c r="AG103" s="14"/>
      <c r="AH103" s="14"/>
      <c r="AI103" s="14"/>
      <c r="AJ103" s="14"/>
      <c r="AK103" s="14"/>
      <c r="AL103" s="14"/>
    </row>
    <row r="104" spans="1:38" ht="13" hidden="1" customHeight="1" x14ac:dyDescent="0.15">
      <c r="A104" t="str">
        <f>Nutrients!B104</f>
        <v>Canola oil</v>
      </c>
      <c r="B104" s="14"/>
      <c r="C104" s="14"/>
      <c r="D104" s="14"/>
      <c r="E104" s="14"/>
      <c r="F104" s="14"/>
      <c r="G104" s="14"/>
      <c r="H104" s="428"/>
      <c r="I104" s="14"/>
      <c r="J104" s="14"/>
      <c r="K104" s="14"/>
      <c r="L104" s="14"/>
      <c r="M104" s="14"/>
      <c r="N104" s="14"/>
      <c r="O104" s="428"/>
      <c r="P104" s="14"/>
      <c r="Q104" s="14"/>
      <c r="R104" s="14"/>
      <c r="S104" s="14"/>
      <c r="T104" s="14"/>
      <c r="U104" s="14"/>
      <c r="V104" s="428"/>
      <c r="W104" s="14"/>
      <c r="X104" s="14"/>
      <c r="Y104" s="14"/>
      <c r="Z104" s="14"/>
      <c r="AA104" s="14"/>
      <c r="AB104" s="14"/>
      <c r="AC104" s="14"/>
      <c r="AD104" s="428"/>
      <c r="AE104" s="14"/>
      <c r="AF104" s="14"/>
      <c r="AG104" s="14"/>
      <c r="AH104" s="14"/>
      <c r="AI104" s="14"/>
      <c r="AJ104" s="14"/>
      <c r="AK104" s="14"/>
      <c r="AL104" s="14"/>
    </row>
    <row r="105" spans="1:38" ht="13" hidden="1" customHeight="1" x14ac:dyDescent="0.15">
      <c r="A105" t="str">
        <f>Nutrients!B105</f>
        <v>Coconut oil</v>
      </c>
      <c r="B105" s="14"/>
      <c r="C105" s="14"/>
      <c r="D105" s="14"/>
      <c r="E105" s="14"/>
      <c r="F105" s="14"/>
      <c r="G105" s="14"/>
      <c r="H105" s="428"/>
      <c r="I105" s="14"/>
      <c r="J105" s="14"/>
      <c r="K105" s="14"/>
      <c r="L105" s="14"/>
      <c r="M105" s="14"/>
      <c r="N105" s="14"/>
      <c r="O105" s="428"/>
      <c r="P105" s="14"/>
      <c r="Q105" s="14"/>
      <c r="R105" s="14"/>
      <c r="S105" s="14"/>
      <c r="T105" s="14"/>
      <c r="U105" s="14"/>
      <c r="V105" s="428"/>
      <c r="W105" s="14"/>
      <c r="X105" s="14"/>
      <c r="Y105" s="14"/>
      <c r="Z105" s="14"/>
      <c r="AA105" s="14"/>
      <c r="AB105" s="14"/>
      <c r="AC105" s="14"/>
      <c r="AD105" s="428"/>
      <c r="AE105" s="14"/>
      <c r="AF105" s="14"/>
      <c r="AG105" s="14"/>
      <c r="AH105" s="14"/>
      <c r="AI105" s="14"/>
      <c r="AJ105" s="14"/>
      <c r="AK105" s="14"/>
      <c r="AL105" s="14"/>
    </row>
    <row r="106" spans="1:38" ht="13" hidden="1" customHeight="1" x14ac:dyDescent="0.15">
      <c r="A106" t="str">
        <f>Nutrients!B106</f>
        <v>Corn oil</v>
      </c>
      <c r="B106" s="14"/>
      <c r="C106" s="14"/>
      <c r="D106" s="14"/>
      <c r="E106" s="14"/>
      <c r="F106" s="14"/>
      <c r="G106" s="14"/>
      <c r="H106" s="428"/>
      <c r="I106" s="14"/>
      <c r="J106" s="14"/>
      <c r="K106" s="14"/>
      <c r="L106" s="14"/>
      <c r="M106" s="14"/>
      <c r="N106" s="14"/>
      <c r="O106" s="428"/>
      <c r="P106" s="14"/>
      <c r="Q106" s="14"/>
      <c r="R106" s="14"/>
      <c r="S106" s="14"/>
      <c r="T106" s="14"/>
      <c r="U106" s="14"/>
      <c r="V106" s="428"/>
      <c r="W106" s="14"/>
      <c r="X106" s="14"/>
      <c r="Y106" s="14"/>
      <c r="Z106" s="14"/>
      <c r="AA106" s="14"/>
      <c r="AB106" s="14"/>
      <c r="AC106" s="14"/>
      <c r="AD106" s="428"/>
      <c r="AE106" s="14"/>
      <c r="AF106" s="14"/>
      <c r="AG106" s="14"/>
      <c r="AH106" s="14"/>
      <c r="AI106" s="14"/>
      <c r="AJ106" s="14"/>
      <c r="AK106" s="14"/>
      <c r="AL106" s="14"/>
    </row>
    <row r="107" spans="1:38" ht="13" hidden="1" customHeight="1" x14ac:dyDescent="0.15">
      <c r="A107" t="str">
        <f>Nutrients!B107</f>
        <v>Palm Kernel oil</v>
      </c>
      <c r="B107" s="14"/>
      <c r="C107" s="14"/>
      <c r="D107" s="14"/>
      <c r="E107" s="14"/>
      <c r="F107" s="14"/>
      <c r="G107" s="14"/>
      <c r="H107" s="428"/>
      <c r="I107" s="14"/>
      <c r="J107" s="14"/>
      <c r="K107" s="14"/>
      <c r="L107" s="14"/>
      <c r="M107" s="14"/>
      <c r="N107" s="14"/>
      <c r="O107" s="428"/>
      <c r="P107" s="14"/>
      <c r="Q107" s="14"/>
      <c r="R107" s="14"/>
      <c r="S107" s="14"/>
      <c r="T107" s="14"/>
      <c r="U107" s="14"/>
      <c r="V107" s="428"/>
      <c r="W107" s="14"/>
      <c r="X107" s="14"/>
      <c r="Y107" s="14"/>
      <c r="Z107" s="14"/>
      <c r="AA107" s="14"/>
      <c r="AB107" s="14"/>
      <c r="AC107" s="14"/>
      <c r="AD107" s="428"/>
      <c r="AE107" s="14"/>
      <c r="AF107" s="14"/>
      <c r="AG107" s="14"/>
      <c r="AH107" s="14"/>
      <c r="AI107" s="14"/>
      <c r="AJ107" s="14"/>
      <c r="AK107" s="14"/>
      <c r="AL107" s="14"/>
    </row>
    <row r="108" spans="1:38" ht="13" hidden="1" customHeight="1" x14ac:dyDescent="0.15">
      <c r="A108" t="str">
        <f>Nutrients!B108</f>
        <v>Soybean oil</v>
      </c>
      <c r="B108" s="14"/>
      <c r="C108" s="14"/>
      <c r="D108" s="14"/>
      <c r="E108" s="14"/>
      <c r="F108" s="14"/>
      <c r="G108" s="14"/>
      <c r="H108" s="428"/>
      <c r="I108" s="14"/>
      <c r="J108" s="14"/>
      <c r="K108" s="14"/>
      <c r="L108" s="14"/>
      <c r="M108" s="14"/>
      <c r="N108" s="14"/>
      <c r="O108" s="428"/>
      <c r="P108" s="14"/>
      <c r="Q108" s="14"/>
      <c r="R108" s="14"/>
      <c r="S108" s="14"/>
      <c r="T108" s="14"/>
      <c r="U108" s="14"/>
      <c r="V108" s="428"/>
      <c r="W108" s="14"/>
      <c r="X108" s="14"/>
      <c r="Y108" s="14"/>
      <c r="Z108" s="14"/>
      <c r="AA108" s="14"/>
      <c r="AB108" s="14"/>
      <c r="AC108" s="14"/>
      <c r="AD108" s="428"/>
      <c r="AE108" s="14"/>
      <c r="AF108" s="14"/>
      <c r="AG108" s="14"/>
      <c r="AH108" s="14"/>
      <c r="AI108" s="14"/>
      <c r="AJ108" s="14"/>
      <c r="AK108" s="14"/>
      <c r="AL108" s="14"/>
    </row>
    <row r="109" spans="1:38" ht="13" hidden="1" customHeight="1" x14ac:dyDescent="0.15">
      <c r="A109" t="str">
        <f>Nutrients!B109</f>
        <v>Soybean Lecithin</v>
      </c>
      <c r="B109" s="14"/>
      <c r="C109" s="14"/>
      <c r="D109" s="14"/>
      <c r="E109" s="14"/>
      <c r="F109" s="14"/>
      <c r="G109" s="14"/>
      <c r="H109" s="428"/>
      <c r="I109" s="14"/>
      <c r="J109" s="14"/>
      <c r="K109" s="14"/>
      <c r="L109" s="14"/>
      <c r="M109" s="14"/>
      <c r="N109" s="14"/>
      <c r="O109" s="428"/>
      <c r="P109" s="14"/>
      <c r="Q109" s="14"/>
      <c r="R109" s="14"/>
      <c r="S109" s="14"/>
      <c r="T109" s="14"/>
      <c r="U109" s="14"/>
      <c r="V109" s="428"/>
      <c r="W109" s="14"/>
      <c r="X109" s="14"/>
      <c r="Y109" s="14"/>
      <c r="Z109" s="14"/>
      <c r="AA109" s="14"/>
      <c r="AB109" s="14"/>
      <c r="AC109" s="14"/>
      <c r="AD109" s="428"/>
      <c r="AE109" s="14"/>
      <c r="AF109" s="14"/>
      <c r="AG109" s="14"/>
      <c r="AH109" s="14"/>
      <c r="AI109" s="14"/>
      <c r="AJ109" s="14"/>
      <c r="AK109" s="14"/>
      <c r="AL109" s="14"/>
    </row>
    <row r="110" spans="1:38" ht="13" hidden="1" customHeight="1" x14ac:dyDescent="0.15">
      <c r="A110" t="str">
        <f>Nutrients!B110</f>
        <v>Sunflower oil</v>
      </c>
      <c r="B110" s="14"/>
      <c r="C110" s="14"/>
      <c r="D110" s="14"/>
      <c r="E110" s="14"/>
      <c r="F110" s="14"/>
      <c r="G110" s="14"/>
      <c r="H110" s="428"/>
      <c r="I110" s="14"/>
      <c r="J110" s="14"/>
      <c r="K110" s="14"/>
      <c r="L110" s="14"/>
      <c r="M110" s="14"/>
      <c r="N110" s="14"/>
      <c r="O110" s="428"/>
      <c r="P110" s="14"/>
      <c r="Q110" s="14"/>
      <c r="R110" s="14"/>
      <c r="S110" s="14"/>
      <c r="T110" s="14"/>
      <c r="U110" s="14"/>
      <c r="V110" s="428"/>
      <c r="W110" s="14"/>
      <c r="X110" s="14"/>
      <c r="Y110" s="14"/>
      <c r="Z110" s="14"/>
      <c r="AA110" s="14"/>
      <c r="AB110" s="14"/>
      <c r="AC110" s="14"/>
      <c r="AD110" s="428"/>
      <c r="AE110" s="14"/>
      <c r="AF110" s="14"/>
      <c r="AG110" s="14"/>
      <c r="AH110" s="14"/>
      <c r="AI110" s="14"/>
      <c r="AJ110" s="14"/>
      <c r="AK110" s="14"/>
      <c r="AL110" s="14"/>
    </row>
    <row r="111" spans="1:38" ht="13" hidden="1" customHeight="1" x14ac:dyDescent="0.15">
      <c r="A111" t="str">
        <f>Nutrients!B111</f>
        <v>Fat, A/V blend</v>
      </c>
      <c r="B111" s="14"/>
      <c r="C111" s="14"/>
      <c r="D111" s="14"/>
      <c r="E111" s="14"/>
      <c r="F111" s="14"/>
      <c r="G111" s="14"/>
      <c r="H111" s="428"/>
      <c r="I111" s="14"/>
      <c r="J111" s="14"/>
      <c r="K111" s="14"/>
      <c r="L111" s="14"/>
      <c r="M111" s="14"/>
      <c r="N111" s="14"/>
      <c r="O111" s="428"/>
      <c r="P111" s="14"/>
      <c r="Q111" s="14"/>
      <c r="R111" s="14"/>
      <c r="S111" s="14"/>
      <c r="T111" s="14"/>
      <c r="U111" s="14"/>
      <c r="V111" s="428"/>
      <c r="W111" s="14"/>
      <c r="X111" s="14"/>
      <c r="Y111" s="14"/>
      <c r="Z111" s="14"/>
      <c r="AA111" s="14"/>
      <c r="AB111" s="14"/>
      <c r="AC111" s="14"/>
      <c r="AD111" s="428"/>
      <c r="AE111" s="14"/>
      <c r="AF111" s="14"/>
      <c r="AG111" s="14"/>
      <c r="AH111" s="14"/>
      <c r="AI111" s="14"/>
      <c r="AJ111" s="14"/>
      <c r="AK111" s="14"/>
      <c r="AL111" s="14"/>
    </row>
    <row r="112" spans="1:38" x14ac:dyDescent="0.15">
      <c r="A112" t="str">
        <f>Nutrients!B112</f>
        <v>Calcium carbonate</v>
      </c>
      <c r="B112" s="66">
        <v>20.2</v>
      </c>
      <c r="C112" s="381">
        <v>20</v>
      </c>
      <c r="D112" s="381">
        <v>19.5</v>
      </c>
      <c r="E112" s="381">
        <v>19.5</v>
      </c>
      <c r="F112" s="381">
        <v>19</v>
      </c>
      <c r="G112" s="381">
        <v>19</v>
      </c>
      <c r="H112" s="430"/>
      <c r="I112" s="66">
        <v>20.2</v>
      </c>
      <c r="J112" s="66">
        <v>19.899999999999999</v>
      </c>
      <c r="K112" s="66">
        <v>19.8</v>
      </c>
      <c r="L112" s="66">
        <v>19.7</v>
      </c>
      <c r="M112" s="381">
        <v>19.600000000000001</v>
      </c>
      <c r="N112" s="381">
        <v>19.5</v>
      </c>
      <c r="O112" s="430"/>
      <c r="P112" s="14">
        <v>15.9</v>
      </c>
      <c r="Q112" s="14">
        <v>15.8</v>
      </c>
      <c r="R112" s="14">
        <v>15.7</v>
      </c>
      <c r="S112" s="14">
        <v>15.6</v>
      </c>
      <c r="T112" s="14">
        <v>15.5</v>
      </c>
      <c r="U112" s="14">
        <v>15.5</v>
      </c>
      <c r="V112" s="428"/>
      <c r="W112" s="66">
        <v>16</v>
      </c>
      <c r="X112" s="66">
        <v>15.9</v>
      </c>
      <c r="Y112" s="66">
        <v>15.8</v>
      </c>
      <c r="Z112" s="66">
        <v>15.7</v>
      </c>
      <c r="AA112" s="66">
        <v>15.6</v>
      </c>
      <c r="AB112" s="14">
        <v>15.5</v>
      </c>
      <c r="AC112" s="14">
        <v>15.5</v>
      </c>
      <c r="AD112" s="428"/>
      <c r="AE112" s="66">
        <v>16</v>
      </c>
      <c r="AF112" s="66">
        <v>16</v>
      </c>
      <c r="AG112" s="66">
        <v>16</v>
      </c>
      <c r="AH112" s="66">
        <v>16</v>
      </c>
      <c r="AI112" s="66">
        <v>16</v>
      </c>
      <c r="AJ112" s="66">
        <v>16</v>
      </c>
      <c r="AK112" s="14"/>
      <c r="AL112" s="14"/>
    </row>
    <row r="113" spans="1:38" ht="13" hidden="1" customHeight="1" x14ac:dyDescent="0.15">
      <c r="A113" t="str">
        <f>Nutrients!B113</f>
        <v>Calcium phosphate (tricalcium)</v>
      </c>
      <c r="B113" s="381"/>
      <c r="C113" s="381"/>
      <c r="D113" s="381"/>
      <c r="E113" s="381"/>
      <c r="F113" s="381"/>
      <c r="G113" s="381"/>
      <c r="H113" s="430"/>
      <c r="I113" s="381"/>
      <c r="J113" s="381"/>
      <c r="K113" s="381"/>
      <c r="L113" s="381"/>
      <c r="M113" s="381"/>
      <c r="N113" s="381"/>
      <c r="O113" s="430"/>
      <c r="P113" s="14"/>
      <c r="Q113" s="14"/>
      <c r="R113" s="14"/>
      <c r="S113" s="14"/>
      <c r="T113" s="14"/>
      <c r="U113" s="14"/>
      <c r="V113" s="428"/>
      <c r="W113" s="66"/>
      <c r="X113" s="66"/>
      <c r="Y113" s="66"/>
      <c r="Z113" s="66"/>
      <c r="AA113" s="66"/>
      <c r="AB113" s="14"/>
      <c r="AC113" s="14"/>
      <c r="AD113" s="428"/>
      <c r="AE113" s="14"/>
      <c r="AF113" s="14"/>
      <c r="AG113" s="14"/>
      <c r="AH113" s="14"/>
      <c r="AI113" s="14"/>
      <c r="AJ113" s="14"/>
      <c r="AK113" s="14"/>
      <c r="AL113" s="14"/>
    </row>
    <row r="114" spans="1:38" ht="13" hidden="1" customHeight="1" x14ac:dyDescent="0.15">
      <c r="A114" t="str">
        <f>Nutrients!B114</f>
        <v>Calcium phosphate (dicalcium)</v>
      </c>
      <c r="B114" s="381"/>
      <c r="C114" s="381"/>
      <c r="D114" s="381"/>
      <c r="E114" s="381"/>
      <c r="F114" s="381"/>
      <c r="G114" s="381"/>
      <c r="H114" s="430"/>
      <c r="I114" s="381"/>
      <c r="J114" s="381"/>
      <c r="K114" s="381"/>
      <c r="L114" s="381"/>
      <c r="M114" s="381"/>
      <c r="N114" s="381"/>
      <c r="O114" s="430"/>
      <c r="P114" s="14"/>
      <c r="Q114" s="14"/>
      <c r="R114" s="14"/>
      <c r="S114" s="14"/>
      <c r="T114" s="14"/>
      <c r="U114" s="14"/>
      <c r="V114" s="428"/>
      <c r="W114" s="66"/>
      <c r="X114" s="66"/>
      <c r="Y114" s="66"/>
      <c r="Z114" s="66"/>
      <c r="AA114" s="66"/>
      <c r="AB114" s="14"/>
      <c r="AC114" s="14"/>
      <c r="AD114" s="428"/>
      <c r="AE114" s="14"/>
      <c r="AF114" s="14"/>
      <c r="AG114" s="14"/>
      <c r="AH114" s="14"/>
      <c r="AI114" s="14"/>
      <c r="AJ114" s="14"/>
      <c r="AK114" s="14"/>
      <c r="AL114" s="14"/>
    </row>
    <row r="115" spans="1:38" x14ac:dyDescent="0.15">
      <c r="A115" t="str">
        <f>Nutrients!B115</f>
        <v>Calcium phosphate (monocalcium)</v>
      </c>
      <c r="B115" s="381">
        <v>14</v>
      </c>
      <c r="C115" s="381">
        <v>13</v>
      </c>
      <c r="D115" s="381">
        <v>13</v>
      </c>
      <c r="E115" s="381">
        <v>12</v>
      </c>
      <c r="F115" s="381">
        <v>12</v>
      </c>
      <c r="G115" s="381">
        <v>11</v>
      </c>
      <c r="H115" s="430"/>
      <c r="I115" s="381">
        <v>18</v>
      </c>
      <c r="J115" s="381">
        <v>17.2</v>
      </c>
      <c r="K115" s="381">
        <v>16.399999999999999</v>
      </c>
      <c r="L115" s="381">
        <v>15.6</v>
      </c>
      <c r="M115" s="381">
        <v>14.8</v>
      </c>
      <c r="N115" s="381">
        <v>14</v>
      </c>
      <c r="O115" s="430"/>
      <c r="P115" s="381">
        <v>11.5</v>
      </c>
      <c r="Q115" s="381">
        <v>11</v>
      </c>
      <c r="R115" s="381">
        <v>10.5</v>
      </c>
      <c r="S115" s="381">
        <v>10</v>
      </c>
      <c r="T115" s="381">
        <v>9.5</v>
      </c>
      <c r="U115" s="381">
        <v>8.5</v>
      </c>
      <c r="V115" s="430"/>
      <c r="W115" s="66">
        <v>12</v>
      </c>
      <c r="X115" s="66">
        <v>11.5</v>
      </c>
      <c r="Y115" s="66">
        <v>11</v>
      </c>
      <c r="Z115" s="66">
        <v>10.5</v>
      </c>
      <c r="AA115" s="66">
        <v>10</v>
      </c>
      <c r="AB115" s="381">
        <v>9.5</v>
      </c>
      <c r="AC115" s="381">
        <v>8.5</v>
      </c>
      <c r="AD115" s="430"/>
      <c r="AE115" s="14">
        <v>11</v>
      </c>
      <c r="AF115" s="14">
        <v>10.8</v>
      </c>
      <c r="AG115" s="14">
        <v>10.6</v>
      </c>
      <c r="AH115" s="14">
        <v>10.4</v>
      </c>
      <c r="AI115" s="14">
        <v>10.199999999999999</v>
      </c>
      <c r="AJ115" s="14">
        <v>10</v>
      </c>
      <c r="AK115" s="14"/>
      <c r="AL115" s="14"/>
    </row>
    <row r="116" spans="1:38" ht="13" hidden="1" customHeight="1" x14ac:dyDescent="0.15">
      <c r="A116" t="str">
        <f>Nutrients!B116</f>
        <v>Calcium sulfate, dihydrate</v>
      </c>
      <c r="B116" s="14"/>
      <c r="C116" s="14"/>
      <c r="D116" s="14"/>
      <c r="E116" s="14"/>
      <c r="F116" s="14"/>
      <c r="G116" s="14"/>
      <c r="H116" s="428"/>
      <c r="I116" s="14"/>
      <c r="J116" s="14"/>
      <c r="K116" s="14"/>
      <c r="L116" s="14"/>
      <c r="M116" s="14"/>
      <c r="N116" s="14"/>
      <c r="O116" s="428"/>
      <c r="P116" s="14"/>
      <c r="Q116" s="14"/>
      <c r="R116" s="14"/>
      <c r="S116" s="14"/>
      <c r="T116" s="14"/>
      <c r="U116" s="14"/>
      <c r="V116" s="428"/>
      <c r="W116" s="14"/>
      <c r="X116" s="14"/>
      <c r="Y116" s="14"/>
      <c r="Z116" s="14"/>
      <c r="AA116" s="14"/>
      <c r="AB116" s="14"/>
      <c r="AC116" s="14"/>
      <c r="AD116" s="428"/>
      <c r="AE116" s="14"/>
      <c r="AF116" s="14"/>
      <c r="AG116" s="14"/>
      <c r="AH116" s="14"/>
      <c r="AI116" s="14"/>
      <c r="AJ116" s="14"/>
      <c r="AK116" s="14"/>
      <c r="AL116" s="14"/>
    </row>
    <row r="117" spans="1:38" ht="13" hidden="1" customHeight="1" x14ac:dyDescent="0.15">
      <c r="A117" t="str">
        <f>Nutrients!B117</f>
        <v>Limestone, ground</v>
      </c>
      <c r="B117" s="14"/>
      <c r="C117" s="14"/>
      <c r="D117" s="14"/>
      <c r="E117" s="14"/>
      <c r="F117" s="14"/>
      <c r="G117" s="14"/>
      <c r="H117" s="428"/>
      <c r="I117" s="14"/>
      <c r="J117" s="14"/>
      <c r="K117" s="14"/>
      <c r="L117" s="14"/>
      <c r="M117" s="14"/>
      <c r="N117" s="14"/>
      <c r="O117" s="428"/>
      <c r="P117" s="14"/>
      <c r="Q117" s="14"/>
      <c r="R117" s="14"/>
      <c r="S117" s="14"/>
      <c r="T117" s="14"/>
      <c r="U117" s="14"/>
      <c r="V117" s="428"/>
      <c r="W117" s="14"/>
      <c r="X117" s="14"/>
      <c r="Y117" s="14"/>
      <c r="Z117" s="14"/>
      <c r="AA117" s="14"/>
      <c r="AB117" s="14"/>
      <c r="AC117" s="14"/>
      <c r="AD117" s="428"/>
      <c r="AE117" s="14"/>
      <c r="AF117" s="14"/>
      <c r="AG117" s="14"/>
      <c r="AH117" s="14"/>
      <c r="AI117" s="14"/>
      <c r="AJ117" s="14"/>
      <c r="AK117" s="14"/>
      <c r="AL117" s="14"/>
    </row>
    <row r="118" spans="1:38" ht="13" hidden="1" customHeight="1" x14ac:dyDescent="0.15">
      <c r="A118" t="str">
        <f>Nutrients!B118</f>
        <v>Magnesium phosphate</v>
      </c>
      <c r="B118" s="14"/>
      <c r="C118" s="14"/>
      <c r="D118" s="14"/>
      <c r="E118" s="14"/>
      <c r="F118" s="14"/>
      <c r="G118" s="14"/>
      <c r="H118" s="428"/>
      <c r="I118" s="14"/>
      <c r="J118" s="14"/>
      <c r="K118" s="14"/>
      <c r="L118" s="14"/>
      <c r="M118" s="14"/>
      <c r="N118" s="14"/>
      <c r="O118" s="428"/>
      <c r="P118" s="14"/>
      <c r="Q118" s="14"/>
      <c r="R118" s="14"/>
      <c r="S118" s="14"/>
      <c r="T118" s="14"/>
      <c r="U118" s="14"/>
      <c r="V118" s="428"/>
      <c r="W118" s="14"/>
      <c r="X118" s="14"/>
      <c r="Y118" s="14"/>
      <c r="Z118" s="14"/>
      <c r="AA118" s="14"/>
      <c r="AB118" s="14"/>
      <c r="AC118" s="14"/>
      <c r="AD118" s="428"/>
      <c r="AE118" s="14"/>
      <c r="AF118" s="14"/>
      <c r="AG118" s="14"/>
      <c r="AH118" s="14"/>
      <c r="AI118" s="14"/>
      <c r="AJ118" s="14"/>
      <c r="AK118" s="14"/>
      <c r="AL118" s="14"/>
    </row>
    <row r="119" spans="1:38" ht="13" hidden="1" customHeight="1" x14ac:dyDescent="0.15">
      <c r="A119" t="str">
        <f>Nutrients!B119</f>
        <v>Sodium carbonate</v>
      </c>
      <c r="B119" s="14"/>
      <c r="C119" s="14"/>
      <c r="D119" s="14"/>
      <c r="E119" s="14"/>
      <c r="F119" s="14"/>
      <c r="G119" s="14"/>
      <c r="H119" s="428"/>
      <c r="I119" s="14"/>
      <c r="J119" s="14"/>
      <c r="K119" s="14"/>
      <c r="L119" s="14"/>
      <c r="M119" s="14"/>
      <c r="N119" s="14"/>
      <c r="O119" s="428"/>
      <c r="P119" s="14"/>
      <c r="Q119" s="14"/>
      <c r="R119" s="14"/>
      <c r="S119" s="14"/>
      <c r="T119" s="14"/>
      <c r="U119" s="14"/>
      <c r="V119" s="428"/>
      <c r="W119" s="14"/>
      <c r="X119" s="14"/>
      <c r="Y119" s="14"/>
      <c r="Z119" s="14"/>
      <c r="AA119" s="14"/>
      <c r="AB119" s="14"/>
      <c r="AC119" s="14"/>
      <c r="AD119" s="428"/>
      <c r="AE119" s="14"/>
      <c r="AF119" s="14"/>
      <c r="AG119" s="14"/>
      <c r="AH119" s="14"/>
      <c r="AI119" s="14"/>
      <c r="AJ119" s="14"/>
      <c r="AK119" s="14"/>
      <c r="AL119" s="14"/>
    </row>
    <row r="120" spans="1:38" ht="13" hidden="1" customHeight="1" x14ac:dyDescent="0.15">
      <c r="A120" t="str">
        <f>Nutrients!B120</f>
        <v>Sodium bicarbonate</v>
      </c>
      <c r="B120" s="14"/>
      <c r="C120" s="14"/>
      <c r="D120" s="14"/>
      <c r="E120" s="14"/>
      <c r="F120" s="14"/>
      <c r="G120" s="14"/>
      <c r="H120" s="428"/>
      <c r="I120" s="14"/>
      <c r="J120" s="14"/>
      <c r="K120" s="14"/>
      <c r="L120" s="14"/>
      <c r="M120" s="14"/>
      <c r="N120" s="14"/>
      <c r="O120" s="428"/>
      <c r="P120" s="14"/>
      <c r="Q120" s="14"/>
      <c r="R120" s="14"/>
      <c r="S120" s="14"/>
      <c r="T120" s="14"/>
      <c r="U120" s="14"/>
      <c r="V120" s="428"/>
      <c r="W120" s="14"/>
      <c r="X120" s="14"/>
      <c r="Y120" s="14"/>
      <c r="Z120" s="14"/>
      <c r="AA120" s="14"/>
      <c r="AB120" s="14"/>
      <c r="AC120" s="14"/>
      <c r="AD120" s="428"/>
      <c r="AE120" s="14"/>
      <c r="AF120" s="14"/>
      <c r="AG120" s="14"/>
      <c r="AH120" s="14"/>
      <c r="AI120" s="14"/>
      <c r="AJ120" s="14"/>
      <c r="AK120" s="14"/>
      <c r="AL120" s="14"/>
    </row>
    <row r="121" spans="1:38" x14ac:dyDescent="0.15">
      <c r="A121" t="str">
        <f>Nutrients!B121</f>
        <v>Sodium chloride</v>
      </c>
      <c r="B121" s="14">
        <v>10</v>
      </c>
      <c r="C121" s="14">
        <v>10</v>
      </c>
      <c r="D121" s="14">
        <v>10</v>
      </c>
      <c r="E121" s="14">
        <v>10</v>
      </c>
      <c r="F121" s="14">
        <v>10</v>
      </c>
      <c r="G121" s="14">
        <v>10</v>
      </c>
      <c r="H121" s="428"/>
      <c r="I121" s="14">
        <v>10</v>
      </c>
      <c r="J121" s="14">
        <v>10</v>
      </c>
      <c r="K121" s="14">
        <v>10</v>
      </c>
      <c r="L121" s="14">
        <v>10</v>
      </c>
      <c r="M121" s="14">
        <v>10</v>
      </c>
      <c r="N121" s="14">
        <v>10</v>
      </c>
      <c r="O121" s="428"/>
      <c r="P121" s="14">
        <v>10</v>
      </c>
      <c r="Q121" s="14">
        <v>10</v>
      </c>
      <c r="R121" s="14">
        <v>10</v>
      </c>
      <c r="S121" s="14">
        <v>10</v>
      </c>
      <c r="T121" s="14">
        <v>10</v>
      </c>
      <c r="U121" s="14">
        <v>10</v>
      </c>
      <c r="V121" s="428"/>
      <c r="W121" s="14">
        <v>10</v>
      </c>
      <c r="X121" s="14">
        <v>10</v>
      </c>
      <c r="Y121" s="14">
        <v>10</v>
      </c>
      <c r="Z121" s="14">
        <v>10</v>
      </c>
      <c r="AA121" s="14">
        <v>10</v>
      </c>
      <c r="AB121" s="14">
        <v>10</v>
      </c>
      <c r="AC121" s="14">
        <v>10</v>
      </c>
      <c r="AD121" s="428"/>
      <c r="AE121" s="14">
        <v>10</v>
      </c>
      <c r="AF121" s="14">
        <v>10</v>
      </c>
      <c r="AG121" s="14">
        <v>10</v>
      </c>
      <c r="AH121" s="14">
        <v>10</v>
      </c>
      <c r="AI121" s="14">
        <v>10</v>
      </c>
      <c r="AJ121" s="14">
        <v>10</v>
      </c>
      <c r="AK121" s="14"/>
      <c r="AL121" s="14"/>
    </row>
    <row r="122" spans="1:38" ht="13" hidden="1" customHeight="1" x14ac:dyDescent="0.15">
      <c r="A122" t="str">
        <f>Nutrients!B122</f>
        <v>Sodium phosphate, monobasic</v>
      </c>
      <c r="B122" s="14"/>
      <c r="C122" s="14"/>
      <c r="D122" s="14"/>
      <c r="E122" s="14"/>
      <c r="F122" s="14"/>
      <c r="G122" s="14"/>
      <c r="H122" s="428"/>
      <c r="I122" s="14"/>
      <c r="J122" s="14"/>
      <c r="K122" s="14"/>
      <c r="L122" s="14"/>
      <c r="M122" s="14"/>
      <c r="N122" s="14"/>
      <c r="O122" s="428"/>
      <c r="P122" s="14"/>
      <c r="Q122" s="14"/>
      <c r="R122" s="14"/>
      <c r="S122" s="14"/>
      <c r="T122" s="14"/>
      <c r="U122" s="14"/>
      <c r="V122" s="428"/>
      <c r="W122" s="14"/>
      <c r="X122" s="14"/>
      <c r="Y122" s="14"/>
      <c r="Z122" s="14"/>
      <c r="AA122" s="14"/>
      <c r="AB122" s="14"/>
      <c r="AC122" s="14"/>
      <c r="AD122" s="428"/>
      <c r="AE122" s="14"/>
      <c r="AF122" s="14"/>
      <c r="AG122" s="14"/>
      <c r="AH122" s="14"/>
      <c r="AI122" s="14"/>
      <c r="AJ122" s="14"/>
      <c r="AK122" s="14"/>
      <c r="AL122" s="14"/>
    </row>
    <row r="123" spans="1:38" ht="13" hidden="1" customHeight="1" x14ac:dyDescent="0.15">
      <c r="A123" t="str">
        <f>Nutrients!B123</f>
        <v>Sodium sulfate, decahydrate</v>
      </c>
      <c r="B123" s="14"/>
      <c r="C123" s="14"/>
      <c r="D123" s="14"/>
      <c r="E123" s="14"/>
      <c r="F123" s="14"/>
      <c r="G123" s="14"/>
      <c r="H123" s="428"/>
      <c r="I123" s="14"/>
      <c r="J123" s="14"/>
      <c r="K123" s="14"/>
      <c r="L123" s="14"/>
      <c r="M123" s="14"/>
      <c r="N123" s="14"/>
      <c r="O123" s="428"/>
      <c r="P123" s="14"/>
      <c r="Q123" s="14"/>
      <c r="R123" s="14"/>
      <c r="S123" s="14"/>
      <c r="T123" s="14"/>
      <c r="U123" s="14"/>
      <c r="V123" s="428"/>
      <c r="W123" s="14"/>
      <c r="X123" s="14"/>
      <c r="Y123" s="14"/>
      <c r="Z123" s="14"/>
      <c r="AA123" s="14"/>
      <c r="AB123" s="14"/>
      <c r="AC123" s="14"/>
      <c r="AD123" s="428"/>
      <c r="AE123" s="14"/>
      <c r="AF123" s="14"/>
      <c r="AG123" s="14"/>
      <c r="AH123" s="14"/>
      <c r="AI123" s="14"/>
      <c r="AJ123" s="14"/>
      <c r="AK123" s="14"/>
      <c r="AL123" s="14"/>
    </row>
    <row r="124" spans="1:38" x14ac:dyDescent="0.15">
      <c r="A124" t="str">
        <f>Nutrients!B124</f>
        <v>L-Lys-HCl</v>
      </c>
      <c r="B124" s="14">
        <v>5</v>
      </c>
      <c r="C124" s="14">
        <v>6</v>
      </c>
      <c r="D124" s="14">
        <v>7</v>
      </c>
      <c r="E124" s="14">
        <v>8</v>
      </c>
      <c r="F124" s="14">
        <v>9</v>
      </c>
      <c r="G124" s="14">
        <v>10</v>
      </c>
      <c r="H124" s="428"/>
      <c r="I124" s="14">
        <v>5.5</v>
      </c>
      <c r="J124" s="14">
        <v>5.7</v>
      </c>
      <c r="K124" s="14">
        <v>5.9</v>
      </c>
      <c r="L124" s="14">
        <v>6.2</v>
      </c>
      <c r="M124" s="14">
        <v>6.4</v>
      </c>
      <c r="N124" s="14">
        <v>6.6</v>
      </c>
      <c r="O124" s="428"/>
      <c r="P124" s="14">
        <v>3.8</v>
      </c>
      <c r="Q124" s="14">
        <v>4.2</v>
      </c>
      <c r="R124" s="14">
        <v>4.5</v>
      </c>
      <c r="S124" s="14">
        <v>4.9000000000000004</v>
      </c>
      <c r="T124" s="14">
        <v>5.3</v>
      </c>
      <c r="U124" s="14">
        <v>5.5</v>
      </c>
      <c r="V124" s="428"/>
      <c r="W124" s="14">
        <v>3.4</v>
      </c>
      <c r="X124" s="14">
        <v>3.8</v>
      </c>
      <c r="Y124" s="14">
        <v>4.2</v>
      </c>
      <c r="Z124" s="14">
        <v>4.5</v>
      </c>
      <c r="AA124" s="14">
        <v>4.9000000000000004</v>
      </c>
      <c r="AB124" s="14">
        <v>5.3</v>
      </c>
      <c r="AC124" s="14">
        <v>5.5</v>
      </c>
      <c r="AD124" s="428"/>
      <c r="AE124" s="14"/>
      <c r="AF124" s="14">
        <v>1.2</v>
      </c>
      <c r="AG124" s="14">
        <v>2.4</v>
      </c>
      <c r="AH124" s="14">
        <v>3.6</v>
      </c>
      <c r="AI124" s="14">
        <v>4.8</v>
      </c>
      <c r="AJ124" s="14">
        <v>6</v>
      </c>
      <c r="AK124" s="14"/>
      <c r="AL124" s="14"/>
    </row>
    <row r="125" spans="1:38" x14ac:dyDescent="0.15">
      <c r="A125" t="str">
        <f>Nutrients!B125</f>
        <v>DL-Met</v>
      </c>
      <c r="B125" s="14">
        <v>1.3</v>
      </c>
      <c r="C125" s="14">
        <v>2.2000000000000002</v>
      </c>
      <c r="D125" s="14">
        <v>3</v>
      </c>
      <c r="E125" s="14">
        <v>3.7</v>
      </c>
      <c r="F125" s="14">
        <v>4.5</v>
      </c>
      <c r="G125" s="14">
        <v>5.0999999999999996</v>
      </c>
      <c r="H125" s="428"/>
      <c r="I125" s="14">
        <v>0.6</v>
      </c>
      <c r="J125" s="14">
        <v>1</v>
      </c>
      <c r="K125" s="14">
        <v>1.4</v>
      </c>
      <c r="L125" s="14">
        <v>1.8</v>
      </c>
      <c r="M125" s="14">
        <v>2.2000000000000002</v>
      </c>
      <c r="N125" s="14">
        <v>2.6</v>
      </c>
      <c r="O125" s="428"/>
      <c r="P125" s="14">
        <v>0.3</v>
      </c>
      <c r="Q125" s="14">
        <v>0.6</v>
      </c>
      <c r="R125" s="14">
        <v>1</v>
      </c>
      <c r="S125" s="14">
        <v>1.3</v>
      </c>
      <c r="T125" s="14">
        <v>1.6</v>
      </c>
      <c r="U125" s="14">
        <v>2</v>
      </c>
      <c r="V125" s="428"/>
      <c r="W125" s="14"/>
      <c r="X125" s="14">
        <v>0.3</v>
      </c>
      <c r="Y125" s="14">
        <v>0.6</v>
      </c>
      <c r="Z125" s="14">
        <v>1</v>
      </c>
      <c r="AA125" s="14">
        <v>1.3</v>
      </c>
      <c r="AB125" s="14">
        <v>1.6</v>
      </c>
      <c r="AC125" s="14">
        <v>2</v>
      </c>
      <c r="AD125" s="428"/>
      <c r="AE125" s="14"/>
      <c r="AF125" s="14">
        <v>0.2</v>
      </c>
      <c r="AG125" s="14">
        <v>0.4</v>
      </c>
      <c r="AH125" s="14">
        <v>0.6</v>
      </c>
      <c r="AI125" s="14">
        <v>0.8</v>
      </c>
      <c r="AJ125" s="14">
        <v>1</v>
      </c>
      <c r="AK125" s="14"/>
      <c r="AL125" s="14"/>
    </row>
    <row r="126" spans="1:38" x14ac:dyDescent="0.15">
      <c r="A126" t="str">
        <f>Nutrients!B126</f>
        <v>L-Thr</v>
      </c>
      <c r="B126" s="14">
        <v>1.5</v>
      </c>
      <c r="C126" s="14">
        <v>2.2000000000000002</v>
      </c>
      <c r="D126" s="14">
        <v>2.7</v>
      </c>
      <c r="E126" s="14">
        <v>3.3</v>
      </c>
      <c r="F126" s="14">
        <v>4</v>
      </c>
      <c r="G126" s="14">
        <v>4.5</v>
      </c>
      <c r="H126" s="428"/>
      <c r="I126" s="14">
        <v>1.5</v>
      </c>
      <c r="J126" s="14">
        <v>1.7</v>
      </c>
      <c r="K126" s="14">
        <v>1.9</v>
      </c>
      <c r="L126" s="14">
        <v>2</v>
      </c>
      <c r="M126" s="14">
        <v>2.2000000000000002</v>
      </c>
      <c r="N126" s="14">
        <v>2.4</v>
      </c>
      <c r="O126" s="428"/>
      <c r="P126" s="14">
        <v>0.8</v>
      </c>
      <c r="Q126" s="14">
        <v>1.1000000000000001</v>
      </c>
      <c r="R126" s="14">
        <v>1.5</v>
      </c>
      <c r="S126" s="14">
        <v>1.8</v>
      </c>
      <c r="T126" s="14">
        <v>2.1</v>
      </c>
      <c r="U126" s="14">
        <v>2.2000000000000002</v>
      </c>
      <c r="V126" s="428"/>
      <c r="W126" s="14">
        <v>0.5</v>
      </c>
      <c r="X126" s="14">
        <v>0.8</v>
      </c>
      <c r="Y126" s="14">
        <v>1.1000000000000001</v>
      </c>
      <c r="Z126" s="14">
        <v>1.5</v>
      </c>
      <c r="AA126" s="14">
        <v>1.8</v>
      </c>
      <c r="AB126" s="14">
        <v>2.1</v>
      </c>
      <c r="AC126" s="14">
        <v>2.2000000000000002</v>
      </c>
      <c r="AD126" s="428"/>
      <c r="AE126" s="14"/>
      <c r="AF126" s="14">
        <v>0.42</v>
      </c>
      <c r="AG126" s="14">
        <v>0.84</v>
      </c>
      <c r="AH126" s="14">
        <v>1.26</v>
      </c>
      <c r="AI126" s="14">
        <v>1.68</v>
      </c>
      <c r="AJ126" s="14">
        <v>2.1</v>
      </c>
      <c r="AK126" s="14"/>
      <c r="AL126" s="14"/>
    </row>
    <row r="127" spans="1:38" x14ac:dyDescent="0.15">
      <c r="A127" t="str">
        <f>Nutrients!B127</f>
        <v>L-Trp</v>
      </c>
      <c r="B127" s="14">
        <v>0.1</v>
      </c>
      <c r="C127" s="14">
        <v>0.2</v>
      </c>
      <c r="D127" s="14">
        <v>0.3</v>
      </c>
      <c r="E127" s="14">
        <v>0.4</v>
      </c>
      <c r="F127" s="14">
        <v>0.5</v>
      </c>
      <c r="G127" s="14">
        <v>0.6</v>
      </c>
      <c r="H127" s="428"/>
      <c r="I127" s="14">
        <v>0.3</v>
      </c>
      <c r="J127" s="14">
        <v>0.28000000000000003</v>
      </c>
      <c r="K127" s="14">
        <v>0.26</v>
      </c>
      <c r="L127" s="14">
        <v>0.24</v>
      </c>
      <c r="M127" s="14">
        <v>0.22</v>
      </c>
      <c r="N127" s="14">
        <v>0.2</v>
      </c>
      <c r="O127" s="428"/>
      <c r="P127" s="382">
        <v>0.12</v>
      </c>
      <c r="Q127" s="382">
        <v>0.14000000000000001</v>
      </c>
      <c r="R127" s="382">
        <v>0.16</v>
      </c>
      <c r="S127" s="382">
        <v>0.18</v>
      </c>
      <c r="T127" s="382">
        <v>0.2</v>
      </c>
      <c r="U127" s="382">
        <v>0.2</v>
      </c>
      <c r="V127" s="453"/>
      <c r="W127" s="382"/>
      <c r="X127" s="382">
        <v>0.12</v>
      </c>
      <c r="Y127" s="382">
        <v>0.14000000000000001</v>
      </c>
      <c r="Z127" s="382">
        <v>0.16</v>
      </c>
      <c r="AA127" s="382">
        <v>0.18</v>
      </c>
      <c r="AB127" s="382">
        <v>0.2</v>
      </c>
      <c r="AC127" s="382">
        <v>0.2</v>
      </c>
      <c r="AD127" s="453"/>
      <c r="AE127" s="14"/>
      <c r="AF127" s="14">
        <v>0.08</v>
      </c>
      <c r="AG127" s="14">
        <v>0.16</v>
      </c>
      <c r="AH127" s="14">
        <v>0.24</v>
      </c>
      <c r="AI127" s="14">
        <v>0.32</v>
      </c>
      <c r="AJ127" s="14">
        <v>0.4</v>
      </c>
      <c r="AK127" s="14"/>
      <c r="AL127" s="14"/>
    </row>
    <row r="128" spans="1:38" x14ac:dyDescent="0.15">
      <c r="A128" t="str">
        <f>Nutrients!B128</f>
        <v>L-Val</v>
      </c>
      <c r="B128" s="14"/>
      <c r="C128" s="14">
        <v>0.3</v>
      </c>
      <c r="D128" s="14">
        <v>0.9</v>
      </c>
      <c r="E128" s="14">
        <v>1.6</v>
      </c>
      <c r="F128" s="14">
        <v>2.2000000000000002</v>
      </c>
      <c r="G128" s="14">
        <v>3</v>
      </c>
      <c r="H128" s="428"/>
      <c r="I128" s="14">
        <v>0.2</v>
      </c>
      <c r="J128" s="14">
        <v>0.4</v>
      </c>
      <c r="K128" s="14">
        <v>0.6</v>
      </c>
      <c r="L128" s="14">
        <v>0.7</v>
      </c>
      <c r="M128" s="14">
        <v>0.9</v>
      </c>
      <c r="N128" s="14">
        <v>1.1000000000000001</v>
      </c>
      <c r="O128" s="428"/>
      <c r="P128" s="14">
        <v>0.1</v>
      </c>
      <c r="Q128" s="14">
        <v>0.3</v>
      </c>
      <c r="R128" s="14">
        <v>0.4</v>
      </c>
      <c r="S128" s="14">
        <v>0.6</v>
      </c>
      <c r="T128" s="14">
        <v>0.7</v>
      </c>
      <c r="U128" s="14">
        <v>1</v>
      </c>
      <c r="V128" s="428"/>
      <c r="W128" s="14"/>
      <c r="X128" s="14">
        <v>0.1</v>
      </c>
      <c r="Y128" s="14">
        <v>0.3</v>
      </c>
      <c r="Z128" s="14">
        <v>0.4</v>
      </c>
      <c r="AA128" s="14">
        <v>0.6</v>
      </c>
      <c r="AB128" s="14">
        <v>0.7</v>
      </c>
      <c r="AC128" s="14">
        <v>1</v>
      </c>
      <c r="AD128" s="428"/>
      <c r="AE128" s="14"/>
      <c r="AF128" s="14">
        <v>0.08</v>
      </c>
      <c r="AG128" s="14">
        <v>0.16</v>
      </c>
      <c r="AH128" s="14">
        <v>0.24</v>
      </c>
      <c r="AI128" s="14">
        <v>0.32</v>
      </c>
      <c r="AJ128" s="14">
        <v>0.4</v>
      </c>
    </row>
    <row r="129" spans="1:38" ht="13" hidden="1" customHeight="1" x14ac:dyDescent="0.15">
      <c r="A129" t="str">
        <f>Nutrients!B129</f>
        <v>L-Ile</v>
      </c>
      <c r="B129" s="14"/>
      <c r="C129" s="14"/>
      <c r="D129" s="14"/>
      <c r="E129" s="14"/>
      <c r="F129" s="14"/>
      <c r="G129" s="14"/>
      <c r="H129" s="428"/>
      <c r="I129" s="14"/>
      <c r="J129" s="14"/>
      <c r="K129" s="14"/>
      <c r="L129" s="14"/>
      <c r="M129" s="14"/>
      <c r="N129" s="14"/>
      <c r="O129" s="428"/>
      <c r="P129" s="14"/>
      <c r="Q129" s="14"/>
      <c r="R129" s="14"/>
      <c r="S129" s="14"/>
      <c r="T129" s="14"/>
      <c r="U129" s="14"/>
      <c r="V129" s="428"/>
      <c r="W129" s="14"/>
      <c r="X129" s="14"/>
      <c r="Y129" s="14"/>
      <c r="Z129" s="14"/>
      <c r="AA129" s="14"/>
      <c r="AB129" s="14"/>
      <c r="AC129" s="14"/>
      <c r="AD129" s="428"/>
      <c r="AE129" s="14"/>
      <c r="AF129" s="14"/>
      <c r="AG129" s="14"/>
      <c r="AH129" s="14"/>
      <c r="AI129" s="14"/>
      <c r="AJ129" s="14"/>
    </row>
    <row r="130" spans="1:38" ht="13" hidden="1" customHeight="1" x14ac:dyDescent="0.15">
      <c r="A130" t="str">
        <f>Nutrients!B130</f>
        <v>Methionine hydroxy analog</v>
      </c>
      <c r="B130" s="14"/>
      <c r="C130" s="14"/>
      <c r="D130" s="14"/>
      <c r="E130" s="14"/>
      <c r="F130" s="14"/>
      <c r="G130" s="14"/>
      <c r="H130" s="428"/>
      <c r="I130" s="14"/>
      <c r="J130" s="14"/>
      <c r="K130" s="14"/>
      <c r="L130" s="14"/>
      <c r="M130" s="14"/>
      <c r="N130" s="14"/>
      <c r="O130" s="428"/>
      <c r="P130" s="14"/>
      <c r="Q130" s="14"/>
      <c r="R130" s="14"/>
      <c r="S130" s="14"/>
      <c r="T130" s="14"/>
      <c r="U130" s="14"/>
      <c r="V130" s="428"/>
      <c r="W130" s="14"/>
      <c r="X130" s="14"/>
      <c r="Y130" s="14"/>
      <c r="Z130" s="14"/>
      <c r="AA130" s="14"/>
      <c r="AB130" s="14"/>
      <c r="AC130" s="14"/>
      <c r="AD130" s="428"/>
      <c r="AE130" s="14"/>
      <c r="AF130" s="14"/>
      <c r="AG130" s="14"/>
      <c r="AH130" s="14"/>
      <c r="AI130" s="14"/>
      <c r="AJ130" s="14"/>
    </row>
    <row r="131" spans="1:38" ht="13" hidden="1" customHeight="1" x14ac:dyDescent="0.15">
      <c r="A131" t="str">
        <f>Nutrients!B131</f>
        <v>Glutamine</v>
      </c>
      <c r="B131" s="14"/>
      <c r="C131" s="14"/>
      <c r="D131" s="14"/>
      <c r="E131" s="14"/>
      <c r="F131" s="14"/>
      <c r="G131" s="14"/>
      <c r="H131" s="428"/>
      <c r="I131" s="14"/>
      <c r="J131" s="14"/>
      <c r="K131" s="14"/>
      <c r="L131" s="14"/>
      <c r="M131" s="14"/>
      <c r="N131" s="14"/>
      <c r="O131" s="428"/>
      <c r="P131" s="14"/>
      <c r="Q131" s="14"/>
      <c r="R131" s="14"/>
      <c r="S131" s="14"/>
      <c r="T131" s="14"/>
      <c r="U131" s="14"/>
      <c r="V131" s="428"/>
      <c r="W131" s="14"/>
      <c r="X131" s="14"/>
      <c r="Y131" s="14"/>
      <c r="Z131" s="14"/>
      <c r="AA131" s="14"/>
      <c r="AB131" s="14"/>
      <c r="AC131" s="14"/>
      <c r="AD131" s="428"/>
      <c r="AE131" s="14"/>
      <c r="AF131" s="14"/>
      <c r="AG131" s="14"/>
      <c r="AH131" s="14"/>
      <c r="AI131" s="14"/>
      <c r="AJ131" s="14"/>
    </row>
    <row r="132" spans="1:38" ht="13" hidden="1" customHeight="1" x14ac:dyDescent="0.15">
      <c r="A132" t="str">
        <f>Nutrients!B132</f>
        <v>Glutamic acid</v>
      </c>
      <c r="B132" s="14"/>
      <c r="C132" s="14"/>
      <c r="D132" s="14"/>
      <c r="E132" s="14"/>
      <c r="F132" s="14"/>
      <c r="G132" s="14"/>
      <c r="H132" s="428"/>
      <c r="I132" s="14"/>
      <c r="J132" s="14"/>
      <c r="K132" s="14"/>
      <c r="L132" s="14"/>
      <c r="M132" s="14"/>
      <c r="N132" s="14"/>
      <c r="O132" s="428"/>
      <c r="P132" s="14"/>
      <c r="Q132" s="14"/>
      <c r="R132" s="14"/>
      <c r="S132" s="14"/>
      <c r="T132" s="14"/>
      <c r="U132" s="14"/>
      <c r="V132" s="428"/>
      <c r="W132" s="14"/>
      <c r="X132" s="14"/>
      <c r="Y132" s="14"/>
      <c r="Z132" s="14"/>
      <c r="AA132" s="14"/>
      <c r="AB132" s="14"/>
      <c r="AC132" s="14"/>
      <c r="AD132" s="428"/>
      <c r="AE132" s="14"/>
      <c r="AF132" s="14"/>
      <c r="AG132" s="14"/>
      <c r="AH132" s="14"/>
      <c r="AI132" s="14"/>
      <c r="AJ132" s="14"/>
    </row>
    <row r="133" spans="1:38" ht="13" hidden="1" customHeight="1" x14ac:dyDescent="0.15">
      <c r="A133" t="str">
        <f>Nutrients!B133</f>
        <v>Biolys</v>
      </c>
      <c r="B133" s="14"/>
      <c r="C133" s="14"/>
      <c r="D133" s="14"/>
      <c r="E133" s="14"/>
      <c r="F133" s="14"/>
      <c r="G133" s="14"/>
      <c r="H133" s="428"/>
      <c r="I133" s="14"/>
      <c r="J133" s="14"/>
      <c r="K133" s="14"/>
      <c r="L133" s="14"/>
      <c r="M133" s="14"/>
      <c r="N133" s="14"/>
      <c r="O133" s="428"/>
      <c r="P133" s="14"/>
      <c r="Q133" s="14"/>
      <c r="R133" s="14"/>
      <c r="S133" s="14"/>
      <c r="T133" s="14"/>
      <c r="U133" s="14"/>
      <c r="V133" s="428"/>
      <c r="W133" s="14"/>
      <c r="X133" s="14"/>
      <c r="Y133" s="14"/>
      <c r="Z133" s="14"/>
      <c r="AA133" s="14"/>
      <c r="AB133" s="14"/>
      <c r="AC133" s="14"/>
      <c r="AD133" s="428"/>
      <c r="AE133" s="14"/>
      <c r="AF133" s="14"/>
      <c r="AG133" s="14"/>
      <c r="AH133" s="14"/>
      <c r="AI133" s="14"/>
      <c r="AJ133" s="14"/>
    </row>
    <row r="134" spans="1:38" ht="13" hidden="1" customHeight="1" x14ac:dyDescent="0.15">
      <c r="A134" t="str">
        <f>Nutrients!B134</f>
        <v>Liquid lysine 60%</v>
      </c>
      <c r="B134" s="14"/>
      <c r="C134" s="14"/>
      <c r="D134" s="14"/>
      <c r="E134" s="14"/>
      <c r="F134" s="14"/>
      <c r="G134" s="14"/>
      <c r="H134" s="428"/>
      <c r="I134" s="14"/>
      <c r="J134" s="14"/>
      <c r="K134" s="14"/>
      <c r="L134" s="14"/>
      <c r="M134" s="14"/>
      <c r="N134" s="14"/>
      <c r="O134" s="428"/>
      <c r="P134" s="14"/>
      <c r="Q134" s="14"/>
      <c r="R134" s="14"/>
      <c r="S134" s="14"/>
      <c r="T134" s="14"/>
      <c r="U134" s="14"/>
      <c r="V134" s="428"/>
      <c r="W134" s="14"/>
      <c r="X134" s="14"/>
      <c r="Y134" s="14"/>
      <c r="Z134" s="14"/>
      <c r="AA134" s="14"/>
      <c r="AB134" s="14"/>
      <c r="AC134" s="14"/>
      <c r="AD134" s="428"/>
      <c r="AE134" s="14"/>
      <c r="AF134" s="14"/>
      <c r="AG134" s="14"/>
      <c r="AH134" s="14"/>
      <c r="AI134" s="14"/>
      <c r="AJ134" s="14"/>
    </row>
    <row r="135" spans="1:38" ht="13" hidden="1" customHeight="1" x14ac:dyDescent="0.15">
      <c r="A135" t="str">
        <f>Nutrients!B135</f>
        <v>MHA dry</v>
      </c>
      <c r="B135" s="14"/>
      <c r="C135" s="14"/>
      <c r="D135" s="14"/>
      <c r="E135" s="14"/>
      <c r="F135" s="14"/>
      <c r="G135" s="14"/>
      <c r="H135" s="428"/>
      <c r="I135" s="14"/>
      <c r="J135" s="14"/>
      <c r="K135" s="14"/>
      <c r="L135" s="14"/>
      <c r="M135" s="14"/>
      <c r="N135" s="14"/>
      <c r="O135" s="428"/>
      <c r="P135" s="14"/>
      <c r="Q135" s="14"/>
      <c r="R135" s="14"/>
      <c r="S135" s="14"/>
      <c r="T135" s="14"/>
      <c r="U135" s="14"/>
      <c r="V135" s="428"/>
      <c r="W135" s="14"/>
      <c r="X135" s="14"/>
      <c r="Y135" s="14"/>
      <c r="Z135" s="14"/>
      <c r="AA135" s="14"/>
      <c r="AB135" s="14"/>
      <c r="AC135" s="14"/>
      <c r="AD135" s="428"/>
      <c r="AE135" s="14"/>
      <c r="AF135" s="14"/>
      <c r="AG135" s="14"/>
      <c r="AH135" s="14"/>
      <c r="AI135" s="14"/>
      <c r="AJ135" s="14"/>
    </row>
    <row r="136" spans="1:38" ht="13" hidden="1" customHeight="1" x14ac:dyDescent="0.15">
      <c r="A136" t="str">
        <f>Nutrients!B136</f>
        <v>Paylean, 9 g/lb</v>
      </c>
      <c r="B136" s="14"/>
      <c r="C136" s="14"/>
      <c r="D136" s="14"/>
      <c r="E136" s="14"/>
      <c r="F136" s="14"/>
      <c r="G136" s="14"/>
      <c r="H136" s="428"/>
      <c r="I136" s="14"/>
      <c r="J136" s="14"/>
      <c r="K136" s="14"/>
      <c r="L136" s="14"/>
      <c r="M136" s="14"/>
      <c r="N136" s="14"/>
      <c r="O136" s="428"/>
      <c r="P136" s="14"/>
      <c r="Q136" s="14"/>
      <c r="R136" s="14"/>
      <c r="S136" s="14"/>
      <c r="T136" s="14"/>
      <c r="U136" s="14"/>
      <c r="V136" s="428"/>
      <c r="W136" s="14"/>
      <c r="X136" s="14"/>
      <c r="Y136" s="14"/>
      <c r="Z136" s="14"/>
      <c r="AA136" s="14"/>
      <c r="AB136" s="14"/>
      <c r="AC136" s="14"/>
      <c r="AD136" s="428"/>
      <c r="AE136" s="14"/>
      <c r="AF136" s="14"/>
      <c r="AG136" s="14"/>
      <c r="AH136" s="14"/>
      <c r="AI136" s="14"/>
      <c r="AJ136" s="14"/>
    </row>
    <row r="137" spans="1:38" ht="13" hidden="1" customHeight="1" x14ac:dyDescent="0.15">
      <c r="A137" t="str">
        <f>Nutrients!B137</f>
        <v>Tribasic copper chloride</v>
      </c>
      <c r="B137" s="14"/>
      <c r="C137" s="14"/>
      <c r="D137" s="14"/>
      <c r="E137" s="14"/>
      <c r="F137" s="14"/>
      <c r="G137" s="14"/>
      <c r="H137" s="428"/>
      <c r="I137" s="14"/>
      <c r="J137" s="14"/>
      <c r="K137" s="14"/>
      <c r="L137" s="14"/>
      <c r="M137" s="14"/>
      <c r="N137" s="14"/>
      <c r="O137" s="428"/>
      <c r="P137" s="14"/>
      <c r="Q137" s="14"/>
      <c r="R137" s="14"/>
      <c r="S137" s="14"/>
      <c r="T137" s="14"/>
      <c r="U137" s="14"/>
      <c r="V137" s="428"/>
      <c r="W137" s="14"/>
      <c r="X137" s="14"/>
      <c r="Y137" s="14"/>
      <c r="Z137" s="14"/>
      <c r="AA137" s="14"/>
      <c r="AB137" s="14"/>
      <c r="AC137" s="14"/>
      <c r="AD137" s="428"/>
      <c r="AE137" s="14"/>
      <c r="AF137" s="14"/>
      <c r="AG137" s="14"/>
      <c r="AH137" s="14"/>
      <c r="AI137" s="14"/>
      <c r="AJ137" s="14"/>
    </row>
    <row r="138" spans="1:38" ht="13" hidden="1" customHeight="1" x14ac:dyDescent="0.15">
      <c r="A138" t="str">
        <f>Nutrients!B138</f>
        <v>2018 Starter base mix</v>
      </c>
      <c r="B138" s="14"/>
      <c r="C138" s="14"/>
      <c r="D138" s="14"/>
      <c r="E138" s="14"/>
      <c r="F138" s="14"/>
      <c r="G138" s="14"/>
      <c r="H138" s="428"/>
      <c r="I138" s="14"/>
      <c r="J138" s="14"/>
      <c r="K138" s="14"/>
      <c r="L138" s="14"/>
      <c r="M138" s="14"/>
      <c r="N138" s="14"/>
      <c r="O138" s="428"/>
      <c r="P138" s="14"/>
      <c r="Q138" s="14"/>
      <c r="R138" s="14"/>
      <c r="S138" s="14"/>
      <c r="T138" s="14"/>
      <c r="U138" s="14"/>
      <c r="V138" s="428"/>
      <c r="W138" s="14"/>
      <c r="X138" s="14"/>
      <c r="Y138" s="14"/>
      <c r="Z138" s="14"/>
      <c r="AA138" s="14"/>
      <c r="AB138" s="14"/>
      <c r="AC138" s="14"/>
      <c r="AD138" s="428"/>
      <c r="AE138" s="14"/>
      <c r="AF138" s="14"/>
      <c r="AG138" s="14"/>
      <c r="AH138" s="14"/>
      <c r="AI138" s="14"/>
      <c r="AJ138" s="14"/>
    </row>
    <row r="139" spans="1:38" ht="13" hidden="1" customHeight="1" x14ac:dyDescent="0.15">
      <c r="A139" t="str">
        <f>Nutrients!B139</f>
        <v>2018 Grow-finish base mix</v>
      </c>
      <c r="B139" s="14"/>
      <c r="C139" s="14"/>
      <c r="D139" s="14"/>
      <c r="E139" s="14"/>
      <c r="F139" s="14"/>
      <c r="G139" s="14"/>
      <c r="H139" s="428"/>
      <c r="I139" s="14"/>
      <c r="J139" s="14"/>
      <c r="K139" s="14"/>
      <c r="L139" s="14"/>
      <c r="M139" s="14"/>
      <c r="N139" s="14"/>
      <c r="O139" s="428"/>
      <c r="P139" s="14"/>
      <c r="Q139" s="14"/>
      <c r="R139" s="14"/>
      <c r="S139" s="14"/>
      <c r="T139" s="14"/>
      <c r="U139" s="14"/>
      <c r="V139" s="428"/>
      <c r="W139" s="14"/>
      <c r="X139" s="14"/>
      <c r="Y139" s="14"/>
      <c r="Z139" s="14"/>
      <c r="AA139" s="14"/>
      <c r="AB139" s="14"/>
      <c r="AC139" s="14"/>
      <c r="AD139" s="428"/>
      <c r="AE139" s="14"/>
      <c r="AF139" s="14"/>
      <c r="AG139" s="14"/>
      <c r="AH139" s="14"/>
      <c r="AI139" s="14"/>
      <c r="AJ139" s="14"/>
    </row>
    <row r="140" spans="1:38" ht="13" hidden="1" customHeight="1" x14ac:dyDescent="0.15">
      <c r="A140" t="str">
        <f>Nutrients!B140</f>
        <v>Developer base mix</v>
      </c>
      <c r="B140" s="14"/>
      <c r="C140" s="14"/>
      <c r="D140" s="14"/>
      <c r="E140" s="14"/>
      <c r="F140" s="14"/>
      <c r="G140" s="14"/>
      <c r="H140" s="428"/>
      <c r="I140" s="14"/>
      <c r="J140" s="14"/>
      <c r="K140" s="14"/>
      <c r="L140" s="14"/>
      <c r="M140" s="14"/>
      <c r="N140" s="14"/>
      <c r="O140" s="428"/>
      <c r="P140" s="14"/>
      <c r="Q140" s="14"/>
      <c r="R140" s="14"/>
      <c r="S140" s="14"/>
      <c r="T140" s="14"/>
      <c r="U140" s="14"/>
      <c r="V140" s="428"/>
      <c r="W140" s="14"/>
      <c r="X140" s="14"/>
      <c r="Y140" s="14"/>
      <c r="Z140" s="14"/>
      <c r="AA140" s="14"/>
      <c r="AB140" s="14"/>
      <c r="AC140" s="14"/>
      <c r="AD140" s="428"/>
      <c r="AE140" s="14"/>
      <c r="AF140" s="14"/>
      <c r="AG140" s="14"/>
      <c r="AH140" s="14"/>
      <c r="AI140" s="14"/>
      <c r="AJ140" s="14"/>
    </row>
    <row r="141" spans="1:38" ht="13" hidden="1" customHeight="1" x14ac:dyDescent="0.15">
      <c r="A141" t="str">
        <f>Nutrients!B141</f>
        <v>2018 Sow base mix</v>
      </c>
      <c r="B141" s="14"/>
      <c r="C141" s="14"/>
      <c r="D141" s="14"/>
      <c r="E141" s="14"/>
      <c r="F141" s="14"/>
      <c r="G141" s="14"/>
      <c r="H141" s="428"/>
      <c r="I141" s="14"/>
      <c r="J141" s="14"/>
      <c r="K141" s="14"/>
      <c r="L141" s="14"/>
      <c r="M141" s="14"/>
      <c r="N141" s="14"/>
      <c r="O141" s="428"/>
      <c r="P141" s="14"/>
      <c r="Q141" s="14"/>
      <c r="R141" s="14"/>
      <c r="S141" s="14"/>
      <c r="T141" s="14"/>
      <c r="U141" s="14"/>
      <c r="V141" s="428"/>
      <c r="W141" s="14"/>
      <c r="X141" s="14"/>
      <c r="Y141" s="14"/>
      <c r="Z141" s="14"/>
      <c r="AA141" s="14"/>
      <c r="AB141" s="14"/>
      <c r="AC141" s="14"/>
      <c r="AD141" s="428"/>
      <c r="AE141" s="14"/>
      <c r="AF141" s="14"/>
      <c r="AG141" s="14"/>
      <c r="AH141" s="14"/>
      <c r="AI141" s="14"/>
      <c r="AJ141" s="14"/>
    </row>
    <row r="142" spans="1:38" x14ac:dyDescent="0.15">
      <c r="A142" t="str">
        <f>Nutrients!B142</f>
        <v>Vitamin premix with phytase</v>
      </c>
      <c r="B142" s="14">
        <v>5</v>
      </c>
      <c r="C142" s="14">
        <v>5</v>
      </c>
      <c r="D142" s="14">
        <v>5</v>
      </c>
      <c r="E142" s="14">
        <v>5</v>
      </c>
      <c r="F142" s="14">
        <v>5</v>
      </c>
      <c r="G142" s="14">
        <v>5</v>
      </c>
      <c r="H142" s="428"/>
      <c r="I142" s="14">
        <v>3</v>
      </c>
      <c r="J142" s="14">
        <v>3</v>
      </c>
      <c r="K142" s="14">
        <v>3</v>
      </c>
      <c r="L142" s="14">
        <v>3</v>
      </c>
      <c r="M142" s="14">
        <v>3</v>
      </c>
      <c r="N142" s="14">
        <v>3</v>
      </c>
      <c r="O142" s="428"/>
      <c r="P142" s="14">
        <v>2</v>
      </c>
      <c r="Q142" s="14">
        <v>2</v>
      </c>
      <c r="R142" s="14">
        <v>2</v>
      </c>
      <c r="S142" s="14">
        <v>2</v>
      </c>
      <c r="T142" s="14">
        <v>2</v>
      </c>
      <c r="U142" s="14">
        <v>2</v>
      </c>
      <c r="V142" s="428"/>
      <c r="W142" s="14">
        <v>2</v>
      </c>
      <c r="X142" s="14">
        <v>2</v>
      </c>
      <c r="Y142" s="14">
        <v>2</v>
      </c>
      <c r="Z142" s="14">
        <v>2</v>
      </c>
      <c r="AA142" s="14">
        <v>2</v>
      </c>
      <c r="AB142" s="14">
        <v>2</v>
      </c>
      <c r="AC142" s="14">
        <v>2</v>
      </c>
      <c r="AD142" s="428"/>
      <c r="AE142" s="14">
        <v>2</v>
      </c>
      <c r="AF142" s="14">
        <v>2</v>
      </c>
      <c r="AG142" s="14">
        <v>2</v>
      </c>
      <c r="AH142" s="14">
        <v>2</v>
      </c>
      <c r="AI142" s="14">
        <v>2</v>
      </c>
      <c r="AJ142" s="14">
        <v>2</v>
      </c>
      <c r="AK142" s="14"/>
      <c r="AL142" s="14"/>
    </row>
    <row r="143" spans="1:38" ht="14" thickBot="1" x14ac:dyDescent="0.2">
      <c r="A143" t="str">
        <f>Nutrients!B143</f>
        <v>Trace mineral premix</v>
      </c>
      <c r="B143" s="14">
        <v>3</v>
      </c>
      <c r="C143" s="14">
        <v>3</v>
      </c>
      <c r="D143" s="14">
        <v>3</v>
      </c>
      <c r="E143" s="14">
        <v>3</v>
      </c>
      <c r="F143" s="14">
        <v>3</v>
      </c>
      <c r="G143" s="14">
        <v>3</v>
      </c>
      <c r="H143" s="428"/>
      <c r="I143" s="14">
        <v>3</v>
      </c>
      <c r="J143" s="14">
        <v>3</v>
      </c>
      <c r="K143" s="14">
        <v>3</v>
      </c>
      <c r="L143" s="14">
        <v>3</v>
      </c>
      <c r="M143" s="14">
        <v>3</v>
      </c>
      <c r="N143" s="14">
        <v>3</v>
      </c>
      <c r="O143" s="428"/>
      <c r="P143" s="14">
        <v>2</v>
      </c>
      <c r="Q143" s="14">
        <v>2</v>
      </c>
      <c r="R143" s="14">
        <v>2</v>
      </c>
      <c r="S143" s="14">
        <v>2</v>
      </c>
      <c r="T143" s="14">
        <v>2</v>
      </c>
      <c r="U143" s="14">
        <v>2</v>
      </c>
      <c r="V143" s="428"/>
      <c r="W143" s="14">
        <v>2</v>
      </c>
      <c r="X143" s="14">
        <v>2</v>
      </c>
      <c r="Y143" s="14">
        <v>2</v>
      </c>
      <c r="Z143" s="14">
        <v>2</v>
      </c>
      <c r="AA143" s="14">
        <v>2</v>
      </c>
      <c r="AB143" s="14">
        <v>2</v>
      </c>
      <c r="AC143" s="14">
        <v>2</v>
      </c>
      <c r="AD143" s="428"/>
      <c r="AE143" s="14">
        <v>2</v>
      </c>
      <c r="AF143" s="14">
        <v>2</v>
      </c>
      <c r="AG143" s="14">
        <v>2</v>
      </c>
      <c r="AH143" s="14">
        <v>2</v>
      </c>
      <c r="AI143" s="14">
        <v>2</v>
      </c>
      <c r="AJ143" s="14">
        <v>2</v>
      </c>
      <c r="AK143" s="14"/>
      <c r="AL143" s="14"/>
    </row>
    <row r="144" spans="1:38" ht="14" hidden="1" customHeight="1" thickBot="1" x14ac:dyDescent="0.2">
      <c r="A144" t="str">
        <f>Nutrients!B144</f>
        <v>Sow add pack</v>
      </c>
      <c r="B144" s="14"/>
      <c r="C144" s="14"/>
      <c r="D144" s="14"/>
      <c r="E144" s="14"/>
      <c r="F144" s="14"/>
      <c r="G144" s="14"/>
      <c r="H144" s="428"/>
      <c r="I144" s="14"/>
      <c r="J144" s="14"/>
      <c r="K144" s="14"/>
      <c r="L144" s="14"/>
      <c r="M144" s="14"/>
      <c r="N144" s="14"/>
      <c r="O144" s="428"/>
      <c r="P144" s="14"/>
      <c r="Q144" s="14"/>
      <c r="R144" s="14"/>
      <c r="S144" s="14"/>
      <c r="T144" s="14"/>
      <c r="U144" s="14"/>
      <c r="V144" s="428"/>
      <c r="W144" s="14"/>
      <c r="X144" s="14"/>
      <c r="Y144" s="14"/>
      <c r="Z144" s="14"/>
      <c r="AA144" s="14"/>
      <c r="AB144" s="14"/>
      <c r="AC144" s="14"/>
      <c r="AD144" s="428"/>
      <c r="AE144" s="14"/>
      <c r="AF144" s="14"/>
      <c r="AG144" s="14"/>
      <c r="AH144" s="14"/>
      <c r="AI144" s="14"/>
      <c r="AJ144" s="14"/>
    </row>
    <row r="145" spans="1:36" ht="14" hidden="1" customHeight="1" thickBot="1" x14ac:dyDescent="0.2">
      <c r="A145" t="str">
        <f>Nutrients!B145</f>
        <v>Vitamin premix without phytase</v>
      </c>
      <c r="B145" s="14"/>
      <c r="C145" s="14"/>
      <c r="D145" s="14"/>
      <c r="E145" s="14"/>
      <c r="F145" s="14"/>
      <c r="G145" s="14"/>
      <c r="H145" s="428"/>
      <c r="I145" s="14"/>
      <c r="J145" s="14"/>
      <c r="K145" s="14"/>
      <c r="L145" s="14"/>
      <c r="M145" s="14"/>
      <c r="N145" s="14"/>
      <c r="O145" s="428"/>
      <c r="P145" s="14"/>
      <c r="Q145" s="14"/>
      <c r="R145" s="14"/>
      <c r="S145" s="14"/>
      <c r="T145" s="14"/>
      <c r="U145" s="14"/>
      <c r="V145" s="428"/>
      <c r="W145" s="14"/>
      <c r="X145" s="14"/>
      <c r="Y145" s="14"/>
      <c r="Z145" s="14"/>
      <c r="AA145" s="14"/>
      <c r="AB145" s="14"/>
      <c r="AC145" s="14"/>
      <c r="AD145" s="428"/>
      <c r="AE145" s="14"/>
      <c r="AF145" s="14"/>
      <c r="AG145" s="14"/>
      <c r="AH145" s="14"/>
      <c r="AI145" s="14"/>
      <c r="AJ145" s="14"/>
    </row>
    <row r="146" spans="1:36" ht="14" hidden="1" customHeight="1" thickBot="1" x14ac:dyDescent="0.2">
      <c r="A146" t="str">
        <f>Nutrients!B146</f>
        <v>GF DDGS Base Mix</v>
      </c>
      <c r="B146" s="14"/>
      <c r="C146" s="14"/>
      <c r="D146" s="14"/>
      <c r="E146" s="14"/>
      <c r="F146" s="14"/>
      <c r="G146" s="14"/>
      <c r="H146" s="428"/>
      <c r="I146" s="14"/>
      <c r="J146" s="14"/>
      <c r="K146" s="14"/>
      <c r="L146" s="14"/>
      <c r="M146" s="14"/>
      <c r="N146" s="14"/>
      <c r="O146" s="428"/>
      <c r="P146" s="14"/>
      <c r="Q146" s="14"/>
      <c r="R146" s="14"/>
      <c r="S146" s="14"/>
      <c r="T146" s="14"/>
      <c r="U146" s="14"/>
      <c r="V146" s="428"/>
      <c r="W146" s="14"/>
      <c r="X146" s="14"/>
      <c r="Y146" s="14"/>
      <c r="Z146" s="14"/>
      <c r="AA146" s="14"/>
      <c r="AB146" s="14"/>
      <c r="AC146" s="14"/>
      <c r="AD146" s="428"/>
      <c r="AE146" s="14"/>
      <c r="AF146" s="14"/>
      <c r="AG146" s="14"/>
      <c r="AH146" s="14"/>
      <c r="AI146" s="14"/>
      <c r="AJ146" s="14"/>
    </row>
    <row r="147" spans="1:36" ht="14" hidden="1" customHeight="1" thickBot="1" x14ac:dyDescent="0.2">
      <c r="A147" t="str">
        <f>Nutrients!B147</f>
        <v>GF synthetics Base Mix</v>
      </c>
      <c r="B147" s="14"/>
      <c r="C147" s="14"/>
      <c r="D147" s="14"/>
      <c r="E147" s="14"/>
      <c r="F147" s="14"/>
      <c r="G147" s="14"/>
      <c r="H147" s="428"/>
      <c r="I147" s="14"/>
      <c r="J147" s="14"/>
      <c r="K147" s="14"/>
      <c r="L147" s="14"/>
      <c r="M147" s="14"/>
      <c r="N147" s="14"/>
      <c r="O147" s="428"/>
      <c r="P147" s="14"/>
      <c r="Q147" s="14"/>
      <c r="R147" s="14"/>
      <c r="S147" s="14"/>
      <c r="T147" s="14"/>
      <c r="U147" s="14"/>
      <c r="V147" s="428"/>
      <c r="W147" s="14"/>
      <c r="X147" s="14"/>
      <c r="Y147" s="14"/>
      <c r="Z147" s="14"/>
      <c r="AA147" s="14"/>
      <c r="AB147" s="14"/>
      <c r="AC147" s="14"/>
      <c r="AD147" s="428"/>
      <c r="AE147" s="14"/>
      <c r="AF147" s="14"/>
      <c r="AG147" s="14"/>
      <c r="AH147" s="14"/>
      <c r="AI147" s="14"/>
      <c r="AJ147" s="14"/>
    </row>
    <row r="148" spans="1:36" ht="14" hidden="1" customHeight="1" thickBot="1" x14ac:dyDescent="0.2">
      <c r="A148" t="str">
        <f>Nutrients!B148</f>
        <v>Choline chloride 60%</v>
      </c>
      <c r="B148" s="14"/>
      <c r="C148" s="14"/>
      <c r="D148" s="14"/>
      <c r="E148" s="14"/>
      <c r="F148" s="14"/>
      <c r="G148" s="14"/>
      <c r="H148" s="428"/>
      <c r="I148" s="14"/>
      <c r="J148" s="14"/>
      <c r="K148" s="14"/>
      <c r="L148" s="14"/>
      <c r="M148" s="14"/>
      <c r="N148" s="14"/>
      <c r="O148" s="428"/>
      <c r="P148" s="14"/>
      <c r="Q148" s="14"/>
      <c r="R148" s="14"/>
      <c r="S148" s="14"/>
      <c r="T148" s="14"/>
      <c r="U148" s="14"/>
      <c r="V148" s="428"/>
      <c r="W148" s="14"/>
      <c r="X148" s="14"/>
      <c r="Y148" s="14"/>
      <c r="Z148" s="14"/>
      <c r="AA148" s="14"/>
      <c r="AB148" s="14"/>
      <c r="AC148" s="14"/>
      <c r="AD148" s="428"/>
      <c r="AE148" s="14"/>
      <c r="AF148" s="14"/>
      <c r="AG148" s="14"/>
      <c r="AH148" s="14"/>
      <c r="AI148" s="14"/>
      <c r="AJ148" s="14"/>
    </row>
    <row r="149" spans="1:36" ht="14" hidden="1" customHeight="1" thickBot="1" x14ac:dyDescent="0.2">
      <c r="A149" t="str">
        <f>Nutrients!B149</f>
        <v>Natuphos 600</v>
      </c>
      <c r="B149" s="14"/>
      <c r="C149" s="14"/>
      <c r="D149" s="14"/>
      <c r="E149" s="14"/>
      <c r="F149" s="14"/>
      <c r="G149" s="14"/>
      <c r="H149" s="428"/>
      <c r="I149" s="14"/>
      <c r="J149" s="14"/>
      <c r="K149" s="14"/>
      <c r="L149" s="14"/>
      <c r="M149" s="14"/>
      <c r="N149" s="14"/>
      <c r="O149" s="428"/>
      <c r="P149" s="14"/>
      <c r="Q149" s="14"/>
      <c r="R149" s="14"/>
      <c r="S149" s="14"/>
      <c r="T149" s="14"/>
      <c r="U149" s="14"/>
      <c r="V149" s="428"/>
      <c r="W149" s="14"/>
      <c r="X149" s="14"/>
      <c r="Y149" s="14"/>
      <c r="Z149" s="14"/>
      <c r="AA149" s="14"/>
      <c r="AB149" s="14"/>
      <c r="AC149" s="14"/>
      <c r="AD149" s="428"/>
      <c r="AE149" s="14"/>
      <c r="AF149" s="14"/>
      <c r="AG149" s="14"/>
      <c r="AH149" s="14"/>
      <c r="AI149" s="14"/>
      <c r="AJ149" s="14"/>
    </row>
    <row r="150" spans="1:36" ht="14" hidden="1" customHeight="1" thickBot="1" x14ac:dyDescent="0.2">
      <c r="A150" t="str">
        <f>Nutrients!B150</f>
        <v>Natuphos 1200</v>
      </c>
      <c r="B150" s="14"/>
      <c r="C150" s="14"/>
      <c r="D150" s="14"/>
      <c r="E150" s="14"/>
      <c r="F150" s="14"/>
      <c r="G150" s="14"/>
      <c r="H150" s="428"/>
      <c r="I150" s="14"/>
      <c r="J150" s="14"/>
      <c r="K150" s="14"/>
      <c r="L150" s="14"/>
      <c r="M150" s="14"/>
      <c r="N150" s="14"/>
      <c r="O150" s="428"/>
      <c r="P150" s="14"/>
      <c r="Q150" s="14"/>
      <c r="R150" s="14"/>
      <c r="S150" s="14"/>
      <c r="T150" s="14"/>
      <c r="U150" s="14"/>
      <c r="V150" s="428"/>
      <c r="W150" s="14"/>
      <c r="X150" s="14"/>
      <c r="Y150" s="14"/>
      <c r="Z150" s="14"/>
      <c r="AA150" s="14"/>
      <c r="AB150" s="14"/>
      <c r="AC150" s="14"/>
      <c r="AD150" s="428"/>
      <c r="AE150" s="14"/>
      <c r="AF150" s="14"/>
      <c r="AG150" s="14"/>
      <c r="AH150" s="14"/>
      <c r="AI150" s="14"/>
      <c r="AJ150" s="14"/>
    </row>
    <row r="151" spans="1:36" ht="14" hidden="1" customHeight="1" thickBot="1" x14ac:dyDescent="0.2">
      <c r="A151" t="str">
        <f>Nutrients!B151</f>
        <v>Optiphos 2000</v>
      </c>
      <c r="B151" s="14"/>
      <c r="C151" s="14"/>
      <c r="D151" s="14"/>
      <c r="E151" s="14"/>
      <c r="F151" s="14"/>
      <c r="G151" s="14"/>
      <c r="H151" s="428"/>
      <c r="I151" s="14"/>
      <c r="J151" s="14"/>
      <c r="K151" s="14"/>
      <c r="L151" s="14"/>
      <c r="M151" s="14"/>
      <c r="N151" s="14"/>
      <c r="O151" s="428"/>
      <c r="P151" s="14"/>
      <c r="Q151" s="14"/>
      <c r="R151" s="14"/>
      <c r="S151" s="14"/>
      <c r="T151" s="14"/>
      <c r="U151" s="14"/>
      <c r="V151" s="428"/>
      <c r="W151" s="14"/>
      <c r="X151" s="14"/>
      <c r="Y151" s="14"/>
      <c r="Z151" s="14"/>
      <c r="AA151" s="14"/>
      <c r="AB151" s="14"/>
      <c r="AC151" s="14"/>
      <c r="AD151" s="428"/>
      <c r="AE151" s="14"/>
      <c r="AF151" s="14"/>
      <c r="AG151" s="14"/>
      <c r="AH151" s="14"/>
      <c r="AI151" s="14"/>
      <c r="AJ151" s="14"/>
    </row>
    <row r="152" spans="1:36" ht="14" hidden="1" customHeight="1" thickBot="1" x14ac:dyDescent="0.2">
      <c r="A152" t="str">
        <f>Nutrients!B152</f>
        <v>Phyzyme 1200</v>
      </c>
      <c r="B152" s="14"/>
      <c r="C152" s="14"/>
      <c r="D152" s="14"/>
      <c r="E152" s="14"/>
      <c r="F152" s="14"/>
      <c r="G152" s="14"/>
      <c r="H152" s="428"/>
      <c r="I152" s="14"/>
      <c r="J152" s="14"/>
      <c r="K152" s="14"/>
      <c r="L152" s="14"/>
      <c r="M152" s="14"/>
      <c r="N152" s="14"/>
      <c r="O152" s="428"/>
      <c r="P152" s="14"/>
      <c r="Q152" s="14"/>
      <c r="R152" s="14"/>
      <c r="S152" s="14"/>
      <c r="T152" s="14"/>
      <c r="U152" s="14"/>
      <c r="V152" s="428"/>
      <c r="W152" s="14"/>
      <c r="X152" s="14"/>
      <c r="Y152" s="14"/>
      <c r="Z152" s="14"/>
      <c r="AA152" s="14"/>
      <c r="AB152" s="14"/>
      <c r="AC152" s="14"/>
      <c r="AD152" s="428"/>
      <c r="AE152" s="14"/>
      <c r="AF152" s="14"/>
      <c r="AG152" s="14"/>
      <c r="AH152" s="14"/>
      <c r="AI152" s="14"/>
      <c r="AJ152" s="14"/>
    </row>
    <row r="153" spans="1:36" ht="14" hidden="1" customHeight="1" thickBot="1" x14ac:dyDescent="0.2">
      <c r="A153" t="str">
        <f>Nutrients!B153</f>
        <v>Phyzyme 5000</v>
      </c>
      <c r="B153" s="14"/>
      <c r="C153" s="14"/>
      <c r="D153" s="14"/>
      <c r="E153" s="14"/>
      <c r="F153" s="14"/>
      <c r="G153" s="14"/>
      <c r="H153" s="428"/>
      <c r="I153" s="14"/>
      <c r="J153" s="14"/>
      <c r="K153" s="14"/>
      <c r="L153" s="14"/>
      <c r="M153" s="14"/>
      <c r="N153" s="14"/>
      <c r="O153" s="428"/>
      <c r="P153" s="14"/>
      <c r="Q153" s="14"/>
      <c r="R153" s="14"/>
      <c r="S153" s="14"/>
      <c r="T153" s="14"/>
      <c r="U153" s="14"/>
      <c r="V153" s="428"/>
      <c r="W153" s="14"/>
      <c r="X153" s="14"/>
      <c r="Y153" s="14"/>
      <c r="Z153" s="14"/>
      <c r="AA153" s="14"/>
      <c r="AB153" s="14"/>
      <c r="AC153" s="14"/>
      <c r="AD153" s="428"/>
      <c r="AE153" s="14"/>
      <c r="AF153" s="14"/>
      <c r="AG153" s="14"/>
      <c r="AH153" s="14"/>
      <c r="AI153" s="14"/>
      <c r="AJ153" s="14"/>
    </row>
    <row r="154" spans="1:36" ht="14" hidden="1" customHeight="1" thickBot="1" x14ac:dyDescent="0.2">
      <c r="A154" t="str">
        <f>Nutrients!B154</f>
        <v>Ronozyme Hiphos GT (10,000)</v>
      </c>
      <c r="B154" s="14"/>
      <c r="C154" s="14"/>
      <c r="D154" s="14"/>
      <c r="E154" s="14"/>
      <c r="F154" s="14"/>
      <c r="G154" s="14"/>
      <c r="H154" s="428"/>
      <c r="I154" s="14"/>
      <c r="J154" s="14"/>
      <c r="K154" s="14"/>
      <c r="L154" s="14"/>
      <c r="M154" s="14"/>
      <c r="N154" s="14"/>
      <c r="O154" s="428"/>
      <c r="P154" s="14"/>
      <c r="Q154" s="14"/>
      <c r="R154" s="14"/>
      <c r="S154" s="14"/>
      <c r="T154" s="14"/>
      <c r="U154" s="14"/>
      <c r="V154" s="428"/>
      <c r="W154" s="14"/>
      <c r="X154" s="14"/>
      <c r="Y154" s="14"/>
      <c r="Z154" s="14"/>
      <c r="AA154" s="14"/>
      <c r="AB154" s="14"/>
      <c r="AC154" s="14"/>
      <c r="AD154" s="428"/>
      <c r="AE154" s="14"/>
      <c r="AF154" s="14"/>
      <c r="AG154" s="14"/>
      <c r="AH154" s="14"/>
      <c r="AI154" s="14"/>
      <c r="AJ154" s="14"/>
    </row>
    <row r="155" spans="1:36" ht="14" hidden="1" customHeight="1" thickBot="1" x14ac:dyDescent="0.2">
      <c r="A155" t="str">
        <f>Nutrients!B155</f>
        <v>Ronozyme Hiphos M (50,000)</v>
      </c>
      <c r="B155" s="14"/>
      <c r="C155" s="14"/>
      <c r="D155" s="14"/>
      <c r="E155" s="14"/>
      <c r="F155" s="14"/>
      <c r="G155" s="14"/>
      <c r="H155" s="428"/>
      <c r="I155" s="14"/>
      <c r="J155" s="14"/>
      <c r="K155" s="14"/>
      <c r="L155" s="14"/>
      <c r="M155" s="14"/>
      <c r="N155" s="14"/>
      <c r="O155" s="428"/>
      <c r="P155" s="14"/>
      <c r="Q155" s="14"/>
      <c r="R155" s="14"/>
      <c r="S155" s="14"/>
      <c r="T155" s="14"/>
      <c r="U155" s="14"/>
      <c r="V155" s="428"/>
      <c r="W155" s="14"/>
      <c r="X155" s="14"/>
      <c r="Y155" s="14"/>
      <c r="Z155" s="14"/>
      <c r="AA155" s="14"/>
      <c r="AB155" s="14"/>
      <c r="AC155" s="14"/>
      <c r="AD155" s="428"/>
      <c r="AE155" s="14"/>
      <c r="AF155" s="14"/>
      <c r="AG155" s="14"/>
      <c r="AH155" s="14"/>
      <c r="AI155" s="14"/>
      <c r="AJ155" s="14"/>
    </row>
    <row r="156" spans="1:36" ht="14" hidden="1" customHeight="1" thickBot="1" x14ac:dyDescent="0.2">
      <c r="A156" t="str">
        <f>Nutrients!B156</f>
        <v>Ronozyme HiPhos 2700</v>
      </c>
      <c r="B156" s="14"/>
      <c r="C156" s="14"/>
      <c r="D156" s="14"/>
      <c r="E156" s="14"/>
      <c r="F156" s="14"/>
      <c r="G156" s="14"/>
      <c r="H156" s="428"/>
      <c r="I156" s="14"/>
      <c r="J156" s="14"/>
      <c r="K156" s="14"/>
      <c r="L156" s="14"/>
      <c r="M156" s="14"/>
      <c r="N156" s="14"/>
      <c r="O156" s="428"/>
      <c r="P156" s="14"/>
      <c r="Q156" s="14"/>
      <c r="R156" s="14"/>
      <c r="S156" s="14"/>
      <c r="T156" s="14"/>
      <c r="U156" s="14"/>
      <c r="V156" s="428"/>
      <c r="W156" s="14"/>
      <c r="X156" s="14"/>
      <c r="Y156" s="14"/>
      <c r="Z156" s="14"/>
      <c r="AA156" s="14"/>
      <c r="AB156" s="14"/>
      <c r="AC156" s="14"/>
      <c r="AD156" s="428"/>
      <c r="AE156" s="14"/>
      <c r="AF156" s="14"/>
      <c r="AG156" s="14"/>
      <c r="AH156" s="14"/>
      <c r="AI156" s="14"/>
      <c r="AJ156" s="14"/>
    </row>
    <row r="157" spans="1:36" ht="14" hidden="1" customHeight="1" thickBot="1" x14ac:dyDescent="0.2">
      <c r="A157" t="str">
        <f>Nutrients!B157</f>
        <v>Zinc oxide</v>
      </c>
      <c r="B157" s="14"/>
      <c r="C157" s="14"/>
      <c r="D157" s="14"/>
      <c r="E157" s="14"/>
      <c r="F157" s="14"/>
      <c r="G157" s="14"/>
      <c r="H157" s="428"/>
      <c r="I157" s="14"/>
      <c r="J157" s="14"/>
      <c r="K157" s="14"/>
      <c r="L157" s="14"/>
      <c r="M157" s="14"/>
      <c r="N157" s="14"/>
      <c r="O157" s="428"/>
      <c r="P157" s="14"/>
      <c r="Q157" s="14"/>
      <c r="R157" s="14"/>
      <c r="S157" s="14"/>
      <c r="T157" s="14"/>
      <c r="U157" s="14"/>
      <c r="V157" s="428"/>
      <c r="W157" s="14"/>
      <c r="X157" s="14"/>
      <c r="Y157" s="14"/>
      <c r="Z157" s="14"/>
      <c r="AA157" s="14"/>
      <c r="AB157" s="14"/>
      <c r="AC157" s="14"/>
      <c r="AD157" s="428"/>
      <c r="AE157" s="14"/>
      <c r="AF157" s="14"/>
      <c r="AG157" s="14"/>
      <c r="AH157" s="14"/>
      <c r="AI157" s="14"/>
      <c r="AJ157" s="14"/>
    </row>
    <row r="158" spans="1:36" ht="14" hidden="1" customHeight="1" thickBot="1" x14ac:dyDescent="0.2">
      <c r="A158" t="str">
        <f>Nutrients!B158</f>
        <v>Copper sulfate</v>
      </c>
      <c r="B158" s="14"/>
      <c r="C158" s="14"/>
      <c r="D158" s="14"/>
      <c r="E158" s="14"/>
      <c r="F158" s="14"/>
      <c r="G158" s="14"/>
      <c r="H158" s="428"/>
      <c r="I158" s="14"/>
      <c r="J158" s="14"/>
      <c r="K158" s="14"/>
      <c r="L158" s="14"/>
      <c r="M158" s="14"/>
      <c r="N158" s="14"/>
      <c r="O158" s="428"/>
      <c r="P158" s="14"/>
      <c r="Q158" s="14"/>
      <c r="R158" s="14"/>
      <c r="S158" s="14"/>
      <c r="T158" s="14"/>
      <c r="U158" s="14"/>
      <c r="V158" s="428"/>
      <c r="W158" s="14"/>
      <c r="X158" s="14"/>
      <c r="Y158" s="14"/>
      <c r="Z158" s="14"/>
      <c r="AA158" s="14"/>
      <c r="AB158" s="14"/>
      <c r="AC158" s="14"/>
      <c r="AD158" s="428"/>
      <c r="AE158" s="14"/>
      <c r="AF158" s="14"/>
      <c r="AG158" s="14"/>
      <c r="AH158" s="14"/>
      <c r="AI158" s="14"/>
      <c r="AJ158" s="14"/>
    </row>
    <row r="159" spans="1:36" ht="14" hidden="1" customHeight="1" thickBot="1" x14ac:dyDescent="0.2">
      <c r="A159" t="str">
        <f>Nutrients!B159</f>
        <v>Potassium chloride</v>
      </c>
      <c r="B159" s="14"/>
      <c r="C159" s="14"/>
      <c r="D159" s="14"/>
      <c r="E159" s="14"/>
      <c r="F159" s="14"/>
      <c r="G159" s="14"/>
      <c r="H159" s="428"/>
      <c r="I159" s="14"/>
      <c r="J159" s="14"/>
      <c r="K159" s="14"/>
      <c r="L159" s="14"/>
      <c r="M159" s="14"/>
      <c r="N159" s="14"/>
      <c r="O159" s="428"/>
      <c r="P159" s="14"/>
      <c r="Q159" s="14"/>
      <c r="R159" s="14"/>
      <c r="S159" s="14"/>
      <c r="T159" s="14"/>
      <c r="U159" s="14"/>
      <c r="V159" s="428"/>
      <c r="W159" s="14"/>
      <c r="X159" s="14"/>
      <c r="Y159" s="14"/>
      <c r="Z159" s="14"/>
      <c r="AA159" s="14"/>
      <c r="AB159" s="14"/>
      <c r="AC159" s="14"/>
      <c r="AD159" s="428"/>
      <c r="AE159" s="14"/>
      <c r="AF159" s="14"/>
      <c r="AG159" s="14"/>
      <c r="AH159" s="14"/>
      <c r="AI159" s="14"/>
      <c r="AJ159" s="14"/>
    </row>
    <row r="160" spans="1:36" ht="14" hidden="1" customHeight="1" thickBot="1" x14ac:dyDescent="0.2">
      <c r="A160" t="str">
        <f>Nutrients!B160</f>
        <v>Calcium chloride</v>
      </c>
      <c r="B160" s="14"/>
      <c r="C160" s="14"/>
      <c r="D160" s="14"/>
      <c r="E160" s="14"/>
      <c r="F160" s="14"/>
      <c r="G160" s="14"/>
      <c r="H160" s="428"/>
      <c r="I160" s="14"/>
      <c r="J160" s="14"/>
      <c r="K160" s="14"/>
      <c r="L160" s="14"/>
      <c r="M160" s="14"/>
      <c r="N160" s="14"/>
      <c r="O160" s="428"/>
      <c r="P160" s="14"/>
      <c r="Q160" s="14"/>
      <c r="R160" s="14"/>
      <c r="S160" s="14"/>
      <c r="T160" s="14"/>
      <c r="U160" s="14"/>
      <c r="V160" s="428"/>
      <c r="W160" s="14"/>
      <c r="X160" s="14"/>
      <c r="Y160" s="14"/>
      <c r="Z160" s="14"/>
      <c r="AA160" s="14"/>
      <c r="AB160" s="14"/>
      <c r="AC160" s="14"/>
      <c r="AD160" s="428"/>
      <c r="AE160" s="14"/>
      <c r="AF160" s="14"/>
      <c r="AG160" s="14"/>
      <c r="AH160" s="14"/>
      <c r="AI160" s="14"/>
      <c r="AJ160" s="14"/>
    </row>
    <row r="161" spans="1:36" ht="14" hidden="1" customHeight="1" thickBot="1" x14ac:dyDescent="0.2">
      <c r="A161" t="str">
        <f>Nutrients!B161</f>
        <v>Acidifier</v>
      </c>
      <c r="B161" s="14"/>
      <c r="C161" s="14"/>
      <c r="D161" s="14"/>
      <c r="E161" s="14"/>
      <c r="F161" s="14"/>
      <c r="G161" s="14"/>
      <c r="H161" s="428"/>
      <c r="I161" s="14"/>
      <c r="J161" s="14"/>
      <c r="K161" s="14"/>
      <c r="L161" s="14"/>
      <c r="M161" s="14"/>
      <c r="N161" s="14"/>
      <c r="O161" s="428"/>
      <c r="P161" s="14"/>
      <c r="Q161" s="14"/>
      <c r="R161" s="14"/>
      <c r="S161" s="14"/>
      <c r="T161" s="14"/>
      <c r="U161" s="14"/>
      <c r="V161" s="428"/>
      <c r="W161" s="14"/>
      <c r="X161" s="14"/>
      <c r="Y161" s="14"/>
      <c r="Z161" s="14"/>
      <c r="AA161" s="14"/>
      <c r="AB161" s="14"/>
      <c r="AC161" s="14"/>
      <c r="AD161" s="428"/>
      <c r="AE161" s="14"/>
      <c r="AF161" s="14"/>
      <c r="AG161" s="14"/>
      <c r="AH161" s="14"/>
      <c r="AI161" s="14"/>
      <c r="AJ161" s="14"/>
    </row>
    <row r="162" spans="1:36" ht="14" hidden="1" customHeight="1" thickBot="1" x14ac:dyDescent="0.2">
      <c r="A162" t="str">
        <f>Nutrients!B162</f>
        <v>Vitamin E, 20,000 IU</v>
      </c>
      <c r="B162" s="14"/>
      <c r="C162" s="14"/>
      <c r="D162" s="14"/>
      <c r="E162" s="14"/>
      <c r="F162" s="14"/>
      <c r="G162" s="14"/>
      <c r="H162" s="428"/>
      <c r="I162" s="14"/>
      <c r="J162" s="14"/>
      <c r="K162" s="14"/>
      <c r="L162" s="14"/>
      <c r="M162" s="14"/>
      <c r="N162" s="14"/>
      <c r="O162" s="428"/>
      <c r="P162" s="14"/>
      <c r="Q162" s="14"/>
      <c r="R162" s="14"/>
      <c r="S162" s="14"/>
      <c r="T162" s="14"/>
      <c r="U162" s="14"/>
      <c r="V162" s="428"/>
      <c r="W162" s="14"/>
      <c r="X162" s="14"/>
      <c r="Y162" s="14"/>
      <c r="Z162" s="14"/>
      <c r="AA162" s="14"/>
      <c r="AB162" s="14"/>
      <c r="AC162" s="14"/>
      <c r="AD162" s="428"/>
      <c r="AE162" s="14"/>
      <c r="AF162" s="14"/>
      <c r="AG162" s="14"/>
      <c r="AH162" s="14"/>
      <c r="AI162" s="14"/>
      <c r="AJ162" s="14"/>
    </row>
    <row r="163" spans="1:36" ht="14" hidden="1" customHeight="1" thickBot="1" x14ac:dyDescent="0.2">
      <c r="A163" t="str">
        <f>Nutrients!B163</f>
        <v>Other ingredient</v>
      </c>
      <c r="B163" s="14"/>
      <c r="C163" s="14"/>
      <c r="D163" s="14"/>
      <c r="E163" s="14"/>
      <c r="F163" s="14"/>
      <c r="G163" s="14"/>
      <c r="H163" s="428"/>
      <c r="I163" s="14"/>
      <c r="J163" s="14"/>
      <c r="K163" s="14"/>
      <c r="L163" s="14"/>
      <c r="M163" s="14"/>
      <c r="N163" s="14"/>
      <c r="O163" s="428"/>
      <c r="P163" s="14"/>
      <c r="Q163" s="14"/>
      <c r="R163" s="14"/>
      <c r="S163" s="14"/>
      <c r="T163" s="14"/>
      <c r="U163" s="14"/>
      <c r="V163" s="428"/>
      <c r="W163" s="14"/>
      <c r="X163" s="14"/>
      <c r="Y163" s="14"/>
      <c r="Z163" s="14"/>
      <c r="AA163" s="14"/>
      <c r="AB163" s="14"/>
      <c r="AC163" s="14"/>
      <c r="AD163" s="428"/>
      <c r="AE163" s="14"/>
      <c r="AF163" s="14"/>
      <c r="AG163" s="14"/>
      <c r="AH163" s="14"/>
      <c r="AI163" s="14"/>
      <c r="AJ163" s="14"/>
    </row>
    <row r="164" spans="1:36" ht="14" hidden="1" customHeight="1" thickBot="1" x14ac:dyDescent="0.2">
      <c r="A164" t="str">
        <f>Nutrients!B164</f>
        <v>DPS 50</v>
      </c>
      <c r="B164" s="14"/>
      <c r="C164" s="14"/>
      <c r="D164" s="14"/>
      <c r="E164" s="14"/>
      <c r="F164" s="14"/>
      <c r="G164" s="14"/>
      <c r="H164" s="428"/>
      <c r="I164" s="14"/>
      <c r="J164" s="14"/>
      <c r="K164" s="14"/>
      <c r="L164" s="14"/>
      <c r="M164" s="14"/>
      <c r="N164" s="14"/>
      <c r="O164" s="428"/>
      <c r="P164" s="14"/>
      <c r="Q164" s="14"/>
      <c r="R164" s="14"/>
      <c r="S164" s="14"/>
      <c r="T164" s="14"/>
      <c r="U164" s="14"/>
      <c r="V164" s="428"/>
      <c r="W164" s="14"/>
      <c r="X164" s="14"/>
      <c r="Y164" s="14"/>
      <c r="Z164" s="14"/>
      <c r="AA164" s="14"/>
      <c r="AB164" s="14"/>
      <c r="AC164" s="14"/>
      <c r="AD164" s="428"/>
      <c r="AE164" s="14"/>
      <c r="AF164" s="14"/>
      <c r="AG164" s="14"/>
      <c r="AH164" s="14"/>
      <c r="AI164" s="14"/>
      <c r="AJ164" s="14"/>
    </row>
    <row r="165" spans="1:36" ht="14" hidden="1" customHeight="1" thickBot="1" x14ac:dyDescent="0.2">
      <c r="A165" t="str">
        <f>Nutrients!B165</f>
        <v>PEP2+</v>
      </c>
      <c r="B165" s="14"/>
      <c r="C165" s="14"/>
      <c r="D165" s="14"/>
      <c r="E165" s="14"/>
      <c r="F165" s="14"/>
      <c r="G165" s="14"/>
      <c r="H165" s="428"/>
      <c r="I165" s="14"/>
      <c r="J165" s="14"/>
      <c r="K165" s="14"/>
      <c r="L165" s="14"/>
      <c r="M165" s="14"/>
      <c r="N165" s="14"/>
      <c r="O165" s="428"/>
      <c r="P165" s="14"/>
      <c r="Q165" s="14"/>
      <c r="R165" s="14"/>
      <c r="S165" s="14"/>
      <c r="T165" s="14"/>
      <c r="U165" s="14"/>
      <c r="V165" s="428"/>
      <c r="W165" s="14"/>
      <c r="X165" s="14"/>
      <c r="Y165" s="14"/>
      <c r="Z165" s="14"/>
      <c r="AA165" s="14"/>
      <c r="AB165" s="14"/>
      <c r="AC165" s="14"/>
      <c r="AD165" s="428"/>
      <c r="AE165" s="14"/>
      <c r="AF165" s="14"/>
      <c r="AG165" s="14"/>
      <c r="AH165" s="14"/>
      <c r="AI165" s="14"/>
      <c r="AJ165" s="14"/>
    </row>
    <row r="166" spans="1:36" ht="14" hidden="1" customHeight="1" thickBot="1" x14ac:dyDescent="0.2">
      <c r="A166" t="str">
        <f>Nutrients!B166</f>
        <v>PEP NS</v>
      </c>
      <c r="B166" s="14"/>
      <c r="C166" s="14"/>
      <c r="D166" s="14"/>
      <c r="E166" s="14"/>
      <c r="F166" s="14"/>
      <c r="G166" s="14"/>
      <c r="H166" s="428"/>
      <c r="I166" s="14"/>
      <c r="J166" s="14"/>
      <c r="K166" s="14"/>
      <c r="L166" s="14"/>
      <c r="M166" s="14"/>
      <c r="N166" s="14"/>
      <c r="O166" s="428"/>
      <c r="P166" s="14"/>
      <c r="Q166" s="14"/>
      <c r="R166" s="14"/>
      <c r="S166" s="14"/>
      <c r="T166" s="14"/>
      <c r="U166" s="14"/>
      <c r="V166" s="428"/>
      <c r="W166" s="14"/>
      <c r="X166" s="14"/>
      <c r="Y166" s="14"/>
      <c r="Z166" s="14"/>
      <c r="AA166" s="14"/>
      <c r="AB166" s="14"/>
      <c r="AC166" s="14"/>
      <c r="AD166" s="428"/>
      <c r="AE166" s="14"/>
      <c r="AF166" s="14"/>
      <c r="AG166" s="14"/>
      <c r="AH166" s="14"/>
      <c r="AI166" s="14"/>
      <c r="AJ166" s="14"/>
    </row>
    <row r="167" spans="1:36" ht="14" hidden="1" customHeight="1" thickBot="1" x14ac:dyDescent="0.2">
      <c r="A167" t="str">
        <f>Nutrients!B167</f>
        <v>Vitamin premix (2x) with phytase</v>
      </c>
      <c r="B167" s="14"/>
      <c r="C167" s="14"/>
      <c r="D167" s="14"/>
      <c r="E167" s="14"/>
      <c r="F167" s="14"/>
      <c r="G167" s="14"/>
      <c r="H167" s="428"/>
      <c r="I167" s="14"/>
      <c r="J167" s="14"/>
      <c r="K167" s="14"/>
      <c r="L167" s="14"/>
      <c r="M167" s="14"/>
      <c r="N167" s="14"/>
      <c r="O167" s="428"/>
      <c r="P167" s="14"/>
      <c r="Q167" s="14"/>
      <c r="R167" s="14"/>
      <c r="S167" s="14"/>
      <c r="T167" s="14"/>
      <c r="U167" s="14"/>
      <c r="V167" s="428"/>
      <c r="W167" s="14"/>
      <c r="X167" s="14"/>
      <c r="Y167" s="14"/>
      <c r="Z167" s="14"/>
      <c r="AA167" s="14"/>
      <c r="AB167" s="14"/>
      <c r="AC167" s="14"/>
      <c r="AD167" s="428"/>
      <c r="AE167" s="14"/>
      <c r="AF167" s="14"/>
      <c r="AG167" s="14"/>
      <c r="AH167" s="14"/>
      <c r="AI167" s="14"/>
      <c r="AJ167" s="14"/>
    </row>
    <row r="168" spans="1:36" ht="14" hidden="1" customHeight="1" thickBot="1" x14ac:dyDescent="0.2">
      <c r="A168" t="str">
        <f>Nutrients!B168</f>
        <v>Vitamin premix (2x) without phytase</v>
      </c>
      <c r="B168" s="14"/>
      <c r="C168" s="14"/>
      <c r="D168" s="14"/>
      <c r="E168" s="14"/>
      <c r="F168" s="14"/>
      <c r="G168" s="14"/>
      <c r="H168" s="428"/>
      <c r="I168" s="14"/>
      <c r="J168" s="14"/>
      <c r="K168" s="14"/>
      <c r="L168" s="14"/>
      <c r="M168" s="14"/>
      <c r="N168" s="14"/>
      <c r="O168" s="428"/>
      <c r="P168" s="14"/>
      <c r="Q168" s="14"/>
      <c r="R168" s="14"/>
      <c r="S168" s="14"/>
      <c r="T168" s="14"/>
      <c r="U168" s="14"/>
      <c r="V168" s="428"/>
      <c r="W168" s="14"/>
      <c r="X168" s="14"/>
      <c r="Y168" s="14"/>
      <c r="Z168" s="14"/>
      <c r="AA168" s="14"/>
      <c r="AB168" s="14"/>
      <c r="AC168" s="14"/>
      <c r="AD168" s="428"/>
      <c r="AE168" s="14"/>
      <c r="AF168" s="14"/>
      <c r="AG168" s="14"/>
      <c r="AH168" s="14"/>
      <c r="AI168" s="14"/>
      <c r="AJ168" s="14"/>
    </row>
    <row r="169" spans="1:36" ht="14" hidden="1" customHeight="1" thickBot="1" x14ac:dyDescent="0.2">
      <c r="A169" t="str">
        <f>Nutrients!B169</f>
        <v>Corn DDGS, 10.5% Oil</v>
      </c>
      <c r="B169" s="14"/>
      <c r="C169" s="14"/>
      <c r="D169" s="14"/>
      <c r="E169" s="14"/>
      <c r="F169" s="14"/>
      <c r="G169" s="14"/>
      <c r="H169" s="428"/>
      <c r="I169" s="14"/>
      <c r="J169" s="14"/>
      <c r="K169" s="14"/>
      <c r="L169" s="14"/>
      <c r="M169" s="14"/>
      <c r="N169" s="14"/>
      <c r="O169" s="428"/>
      <c r="P169" s="14"/>
      <c r="Q169" s="14"/>
      <c r="R169" s="14"/>
      <c r="S169" s="14"/>
      <c r="T169" s="14"/>
      <c r="U169" s="14"/>
      <c r="V169" s="428"/>
      <c r="W169" s="14"/>
      <c r="X169" s="14"/>
      <c r="Y169" s="14"/>
      <c r="Z169" s="14"/>
      <c r="AA169" s="14"/>
      <c r="AB169" s="14"/>
      <c r="AC169" s="14"/>
      <c r="AD169" s="428"/>
      <c r="AE169" s="14"/>
      <c r="AF169" s="14"/>
      <c r="AG169" s="14"/>
      <c r="AH169" s="14"/>
      <c r="AI169" s="14"/>
      <c r="AJ169" s="14"/>
    </row>
    <row r="170" spans="1:36" ht="14" hidden="1" customHeight="1" thickBot="1" x14ac:dyDescent="0.2">
      <c r="A170" t="str">
        <f>Nutrients!B170</f>
        <v>Corn DDGS, 7.5% Oil</v>
      </c>
      <c r="B170" s="14"/>
      <c r="C170" s="14"/>
      <c r="D170" s="14"/>
      <c r="E170" s="14"/>
      <c r="F170" s="14"/>
      <c r="G170" s="14"/>
      <c r="H170" s="428"/>
      <c r="I170" s="14"/>
      <c r="J170" s="14"/>
      <c r="K170" s="14"/>
      <c r="L170" s="14"/>
      <c r="M170" s="14"/>
      <c r="N170" s="14"/>
      <c r="O170" s="428"/>
      <c r="P170" s="14"/>
      <c r="Q170" s="14"/>
      <c r="R170" s="14"/>
      <c r="S170" s="14"/>
      <c r="T170" s="14"/>
      <c r="U170" s="14"/>
      <c r="V170" s="428"/>
      <c r="W170" s="14"/>
      <c r="X170" s="14"/>
      <c r="Y170" s="14"/>
      <c r="Z170" s="14"/>
      <c r="AA170" s="14"/>
      <c r="AB170" s="14"/>
      <c r="AC170" s="14"/>
      <c r="AD170" s="428"/>
      <c r="AE170" s="14"/>
      <c r="AF170" s="14"/>
      <c r="AG170" s="14"/>
      <c r="AH170" s="14"/>
      <c r="AI170" s="14"/>
      <c r="AJ170" s="14"/>
    </row>
    <row r="171" spans="1:36" ht="14" hidden="1" customHeight="1" thickBot="1" x14ac:dyDescent="0.2">
      <c r="A171" t="str">
        <f>Nutrients!B171</f>
        <v>Corn DDGS, 4.5% Oil</v>
      </c>
      <c r="B171" s="14"/>
      <c r="C171" s="14"/>
      <c r="D171" s="14"/>
      <c r="E171" s="14"/>
      <c r="F171" s="14"/>
      <c r="G171" s="14"/>
      <c r="H171" s="428"/>
      <c r="I171" s="14"/>
      <c r="J171" s="14"/>
      <c r="K171" s="14"/>
      <c r="L171" s="14"/>
      <c r="M171" s="14"/>
      <c r="N171" s="14"/>
      <c r="O171" s="428"/>
      <c r="P171" s="14"/>
      <c r="Q171" s="14"/>
      <c r="R171" s="14"/>
      <c r="S171" s="14"/>
      <c r="T171" s="14"/>
      <c r="U171" s="14"/>
      <c r="V171" s="428"/>
      <c r="W171" s="14"/>
      <c r="X171" s="14"/>
      <c r="Y171" s="14"/>
      <c r="Z171" s="14"/>
      <c r="AA171" s="14"/>
      <c r="AB171" s="14"/>
      <c r="AC171" s="14"/>
      <c r="AD171" s="428"/>
      <c r="AE171" s="14"/>
      <c r="AF171" s="14"/>
      <c r="AG171" s="14"/>
      <c r="AH171" s="14"/>
      <c r="AI171" s="14"/>
      <c r="AJ171" s="14"/>
    </row>
    <row r="172" spans="1:36" ht="14" hidden="1" customHeight="1" thickBot="1" x14ac:dyDescent="0.2">
      <c r="A172" t="str">
        <f>Nutrients!B172</f>
        <v>MEPRO Hubbard</v>
      </c>
      <c r="B172" s="14"/>
      <c r="C172" s="14"/>
      <c r="D172" s="14"/>
      <c r="E172" s="14"/>
      <c r="F172" s="14"/>
      <c r="G172" s="14"/>
      <c r="H172" s="428"/>
      <c r="I172" s="14"/>
      <c r="J172" s="14"/>
      <c r="K172" s="14"/>
      <c r="L172" s="14"/>
      <c r="M172" s="14"/>
      <c r="N172" s="14"/>
      <c r="O172" s="428"/>
      <c r="P172" s="14"/>
      <c r="Q172" s="14"/>
      <c r="R172" s="14"/>
      <c r="S172" s="14"/>
      <c r="T172" s="14"/>
      <c r="U172" s="14"/>
      <c r="V172" s="428"/>
      <c r="W172" s="14"/>
      <c r="X172" s="14"/>
      <c r="Y172" s="14"/>
      <c r="Z172" s="14"/>
      <c r="AA172" s="14"/>
      <c r="AB172" s="14"/>
      <c r="AC172" s="14"/>
      <c r="AD172" s="428"/>
      <c r="AE172" s="14"/>
      <c r="AF172" s="14"/>
      <c r="AG172" s="14"/>
      <c r="AH172" s="14"/>
      <c r="AI172" s="14"/>
      <c r="AJ172" s="14"/>
    </row>
    <row r="173" spans="1:36" ht="14" hidden="1" customHeight="1" thickBot="1" x14ac:dyDescent="0.2">
      <c r="A173" t="str">
        <f>Nutrients!B173</f>
        <v>HP 300 2022 loadings</v>
      </c>
      <c r="B173" s="14"/>
      <c r="C173" s="14"/>
      <c r="D173" s="14"/>
      <c r="E173" s="14"/>
      <c r="F173" s="14"/>
      <c r="G173" s="14"/>
      <c r="H173" s="428"/>
      <c r="I173" s="14"/>
      <c r="J173" s="14"/>
      <c r="K173" s="14"/>
      <c r="L173" s="14"/>
      <c r="M173" s="14"/>
      <c r="N173" s="14"/>
      <c r="O173" s="428"/>
      <c r="P173" s="14"/>
      <c r="Q173" s="14"/>
      <c r="R173" s="14"/>
      <c r="S173" s="14"/>
      <c r="T173" s="14"/>
      <c r="U173" s="14"/>
      <c r="V173" s="428"/>
      <c r="W173" s="14"/>
      <c r="X173" s="14"/>
      <c r="Y173" s="14"/>
      <c r="Z173" s="14"/>
      <c r="AA173" s="14"/>
      <c r="AB173" s="14"/>
      <c r="AC173" s="14"/>
      <c r="AD173" s="428"/>
      <c r="AE173" s="14"/>
      <c r="AF173" s="14"/>
      <c r="AG173" s="14"/>
      <c r="AH173" s="14"/>
      <c r="AI173" s="14"/>
      <c r="AJ173" s="14"/>
    </row>
    <row r="174" spans="1:36" ht="14" hidden="1" customHeight="1" thickBot="1" x14ac:dyDescent="0.2">
      <c r="A174" t="str">
        <f>Nutrients!B174</f>
        <v>Glycine</v>
      </c>
      <c r="B174" s="14"/>
      <c r="C174" s="14"/>
      <c r="D174" s="14"/>
      <c r="E174" s="14"/>
      <c r="F174" s="14"/>
      <c r="G174" s="14"/>
      <c r="H174" s="428"/>
      <c r="I174" s="14"/>
      <c r="J174" s="14"/>
      <c r="K174" s="14"/>
      <c r="L174" s="14"/>
      <c r="M174" s="14"/>
      <c r="N174" s="14"/>
      <c r="O174" s="428"/>
      <c r="P174" s="14"/>
      <c r="Q174" s="14"/>
      <c r="R174" s="14"/>
      <c r="S174" s="14"/>
      <c r="T174" s="14"/>
      <c r="U174" s="14"/>
      <c r="V174" s="428"/>
      <c r="W174" s="14"/>
      <c r="X174" s="14"/>
      <c r="Y174" s="14"/>
      <c r="Z174" s="14"/>
      <c r="AA174" s="14"/>
      <c r="AB174" s="14"/>
      <c r="AC174" s="14"/>
      <c r="AD174" s="428"/>
      <c r="AE174" s="14"/>
      <c r="AF174" s="14"/>
      <c r="AG174" s="14"/>
      <c r="AH174" s="14"/>
      <c r="AI174" s="14"/>
      <c r="AJ174" s="14"/>
    </row>
    <row r="175" spans="1:36" ht="14" hidden="1" customHeight="1" thickBot="1" x14ac:dyDescent="0.2">
      <c r="A175" t="str">
        <f>Nutrients!B175</f>
        <v>Phase 2 supplement 2018</v>
      </c>
      <c r="B175" s="14"/>
      <c r="C175" s="14"/>
      <c r="D175" s="14"/>
      <c r="E175" s="14"/>
      <c r="F175" s="14"/>
      <c r="G175" s="14"/>
      <c r="H175" s="428"/>
      <c r="I175" s="14"/>
      <c r="J175" s="14"/>
      <c r="K175" s="14"/>
      <c r="L175" s="14"/>
      <c r="M175" s="14"/>
      <c r="N175" s="14"/>
      <c r="O175" s="428"/>
      <c r="P175" s="14"/>
      <c r="Q175" s="14"/>
      <c r="R175" s="14"/>
      <c r="S175" s="14"/>
      <c r="T175" s="14"/>
      <c r="U175" s="14"/>
      <c r="V175" s="428"/>
      <c r="W175" s="14"/>
      <c r="X175" s="14"/>
      <c r="Y175" s="14"/>
      <c r="Z175" s="14"/>
      <c r="AA175" s="14"/>
      <c r="AB175" s="14"/>
      <c r="AC175" s="14"/>
      <c r="AD175" s="428"/>
      <c r="AE175" s="14"/>
      <c r="AF175" s="14"/>
      <c r="AG175" s="14"/>
      <c r="AH175" s="14"/>
      <c r="AI175" s="14"/>
      <c r="AJ175" s="14"/>
    </row>
    <row r="176" spans="1:36" ht="14" hidden="1" customHeight="1" thickBot="1" x14ac:dyDescent="0.2">
      <c r="A176" t="str">
        <f>Nutrients!B176</f>
        <v>Fermex 200</v>
      </c>
      <c r="B176" s="14"/>
      <c r="C176" s="14"/>
      <c r="D176" s="14"/>
      <c r="E176" s="14"/>
      <c r="F176" s="14"/>
      <c r="G176" s="14"/>
      <c r="H176" s="428"/>
      <c r="I176" s="14"/>
      <c r="J176" s="14"/>
      <c r="K176" s="14"/>
      <c r="L176" s="14"/>
      <c r="M176" s="14"/>
      <c r="N176" s="14"/>
      <c r="O176" s="428"/>
      <c r="P176" s="14"/>
      <c r="Q176" s="14"/>
      <c r="R176" s="14"/>
      <c r="S176" s="14"/>
      <c r="T176" s="14"/>
      <c r="U176" s="14"/>
      <c r="V176" s="428"/>
      <c r="W176" s="14"/>
      <c r="X176" s="14"/>
      <c r="Y176" s="14"/>
      <c r="Z176" s="14"/>
      <c r="AA176" s="14"/>
      <c r="AB176" s="14"/>
      <c r="AC176" s="14"/>
      <c r="AD176" s="428"/>
      <c r="AE176" s="14"/>
      <c r="AF176" s="14"/>
      <c r="AG176" s="14"/>
      <c r="AH176" s="14"/>
      <c r="AI176" s="14"/>
      <c r="AJ176" s="14"/>
    </row>
    <row r="177" spans="1:36" ht="14" hidden="1" customHeight="1" thickBot="1" x14ac:dyDescent="0.2">
      <c r="A177" t="str">
        <f>Nutrients!B177</f>
        <v>Soybean meal with 88% NE of corn</v>
      </c>
      <c r="B177" s="14"/>
      <c r="C177" s="14"/>
      <c r="D177" s="14"/>
      <c r="E177" s="14"/>
      <c r="F177" s="14"/>
      <c r="G177" s="14"/>
      <c r="H177" s="428"/>
      <c r="I177" s="14"/>
      <c r="J177" s="14"/>
      <c r="K177" s="14"/>
      <c r="L177" s="14"/>
      <c r="M177" s="14"/>
      <c r="N177" s="14"/>
      <c r="O177" s="428"/>
      <c r="P177" s="14"/>
      <c r="Q177" s="14"/>
      <c r="R177" s="14"/>
      <c r="S177" s="14"/>
      <c r="T177" s="14"/>
      <c r="U177" s="14"/>
      <c r="V177" s="428"/>
      <c r="W177" s="14"/>
      <c r="X177" s="14"/>
      <c r="Y177" s="14"/>
      <c r="Z177" s="14"/>
      <c r="AA177" s="14"/>
      <c r="AB177" s="14"/>
      <c r="AC177" s="14"/>
      <c r="AD177" s="428"/>
      <c r="AE177" s="14"/>
      <c r="AF177" s="14"/>
      <c r="AG177" s="14"/>
      <c r="AH177" s="14"/>
      <c r="AI177" s="14"/>
      <c r="AJ177" s="14"/>
    </row>
    <row r="178" spans="1:36" ht="14" hidden="1" customHeight="1" thickBot="1" x14ac:dyDescent="0.2">
      <c r="A178" t="str">
        <f>Nutrients!B178</f>
        <v>Blue Dye NFP</v>
      </c>
      <c r="B178" s="14"/>
      <c r="C178" s="14"/>
      <c r="D178" s="14"/>
      <c r="E178" s="14"/>
      <c r="F178" s="14"/>
      <c r="G178" s="14"/>
      <c r="H178" s="428"/>
      <c r="I178" s="14"/>
      <c r="J178" s="14"/>
      <c r="K178" s="14"/>
      <c r="L178" s="14"/>
      <c r="M178" s="14"/>
      <c r="N178" s="14"/>
      <c r="O178" s="428"/>
      <c r="P178" s="14"/>
      <c r="Q178" s="14"/>
      <c r="R178" s="14"/>
      <c r="S178" s="14"/>
      <c r="T178" s="14"/>
      <c r="U178" s="14"/>
      <c r="V178" s="428"/>
      <c r="W178" s="14"/>
      <c r="X178" s="14"/>
      <c r="Y178" s="14"/>
      <c r="Z178" s="14"/>
      <c r="AA178" s="14"/>
      <c r="AB178" s="14"/>
      <c r="AC178" s="14"/>
      <c r="AD178" s="428"/>
      <c r="AE178" s="14"/>
      <c r="AF178" s="14"/>
      <c r="AG178" s="14"/>
      <c r="AH178" s="14"/>
      <c r="AI178" s="14"/>
      <c r="AJ178" s="14"/>
    </row>
    <row r="179" spans="1:36" ht="14" hidden="1" customHeight="1" thickBot="1" x14ac:dyDescent="0.2">
      <c r="A179" t="str">
        <f>Nutrients!B179</f>
        <v>HP 300 2019 NFP</v>
      </c>
      <c r="B179" s="14"/>
      <c r="C179" s="14"/>
      <c r="D179" s="14"/>
      <c r="E179" s="14"/>
      <c r="F179" s="14"/>
      <c r="G179" s="14"/>
      <c r="H179" s="428"/>
      <c r="I179" s="14"/>
      <c r="J179" s="14"/>
      <c r="K179" s="14"/>
      <c r="L179" s="14"/>
      <c r="M179" s="14"/>
      <c r="N179" s="14"/>
      <c r="O179" s="428"/>
      <c r="P179" s="14"/>
      <c r="Q179" s="14"/>
      <c r="R179" s="14"/>
      <c r="S179" s="14"/>
      <c r="T179" s="14"/>
      <c r="U179" s="14"/>
      <c r="V179" s="428"/>
      <c r="W179" s="14"/>
      <c r="X179" s="14"/>
      <c r="Y179" s="14"/>
      <c r="Z179" s="14"/>
      <c r="AA179" s="14"/>
      <c r="AB179" s="14"/>
      <c r="AC179" s="14"/>
      <c r="AD179" s="428"/>
      <c r="AE179" s="14"/>
      <c r="AF179" s="14"/>
      <c r="AG179" s="14"/>
      <c r="AH179" s="14"/>
      <c r="AI179" s="14"/>
      <c r="AJ179" s="14"/>
    </row>
    <row r="180" spans="1:36" ht="14" hidden="1" customHeight="1" thickBot="1" x14ac:dyDescent="0.2">
      <c r="A180" t="str">
        <f>Nutrients!B180</f>
        <v>AX3 Digest NFP</v>
      </c>
      <c r="B180" s="14"/>
      <c r="C180" s="14"/>
      <c r="D180" s="14"/>
      <c r="E180" s="14"/>
      <c r="F180" s="14"/>
      <c r="G180" s="14"/>
      <c r="H180" s="428"/>
      <c r="I180" s="14"/>
      <c r="J180" s="14"/>
      <c r="K180" s="14"/>
      <c r="L180" s="14"/>
      <c r="M180" s="14"/>
      <c r="N180" s="14"/>
      <c r="O180" s="428"/>
      <c r="P180" s="14"/>
      <c r="Q180" s="14"/>
      <c r="R180" s="14"/>
      <c r="S180" s="14"/>
      <c r="T180" s="14"/>
      <c r="U180" s="14"/>
      <c r="V180" s="428"/>
      <c r="W180" s="14"/>
      <c r="X180" s="14"/>
      <c r="Y180" s="14"/>
      <c r="Z180" s="14"/>
      <c r="AA180" s="14"/>
      <c r="AB180" s="14"/>
      <c r="AC180" s="14"/>
      <c r="AD180" s="428"/>
      <c r="AE180" s="14"/>
      <c r="AF180" s="14"/>
      <c r="AG180" s="14"/>
      <c r="AH180" s="14"/>
      <c r="AI180" s="14"/>
      <c r="AJ180" s="14"/>
    </row>
    <row r="181" spans="1:36" ht="14" hidden="1" customHeight="1" thickBot="1" x14ac:dyDescent="0.2">
      <c r="A181" t="str">
        <f>Nutrients!B181</f>
        <v>Phase 2 supplement 2018 NFP</v>
      </c>
      <c r="B181" s="14"/>
      <c r="C181" s="14"/>
      <c r="D181" s="14"/>
      <c r="E181" s="14"/>
      <c r="F181" s="14"/>
      <c r="G181" s="14"/>
      <c r="H181" s="428"/>
      <c r="I181" s="14"/>
      <c r="J181" s="14"/>
      <c r="K181" s="14"/>
      <c r="L181" s="14"/>
      <c r="M181" s="14"/>
      <c r="N181" s="14"/>
      <c r="O181" s="428"/>
      <c r="P181" s="14"/>
      <c r="Q181" s="14"/>
      <c r="R181" s="14"/>
      <c r="S181" s="14"/>
      <c r="T181" s="14"/>
      <c r="U181" s="14"/>
      <c r="V181" s="428"/>
      <c r="W181" s="14"/>
      <c r="X181" s="14"/>
      <c r="Y181" s="14"/>
      <c r="Z181" s="14"/>
      <c r="AA181" s="14"/>
      <c r="AB181" s="14"/>
      <c r="AC181" s="14"/>
      <c r="AD181" s="428"/>
      <c r="AE181" s="14"/>
      <c r="AF181" s="14"/>
      <c r="AG181" s="14"/>
      <c r="AH181" s="14"/>
      <c r="AI181" s="14"/>
      <c r="AJ181" s="14"/>
    </row>
    <row r="182" spans="1:36" ht="14" hidden="1" customHeight="1" thickBot="1" x14ac:dyDescent="0.2">
      <c r="A182" t="str">
        <f>Nutrients!B182</f>
        <v>Femex 200 NFP</v>
      </c>
      <c r="B182" s="14"/>
      <c r="C182" s="14"/>
      <c r="D182" s="14"/>
      <c r="E182" s="14"/>
      <c r="F182" s="14"/>
      <c r="G182" s="14"/>
      <c r="H182" s="428"/>
      <c r="I182" s="14"/>
      <c r="J182" s="14"/>
      <c r="K182" s="14"/>
      <c r="L182" s="14"/>
      <c r="M182" s="14"/>
      <c r="N182" s="14"/>
      <c r="O182" s="428"/>
      <c r="P182" s="14"/>
      <c r="Q182" s="14"/>
      <c r="R182" s="14"/>
      <c r="S182" s="14"/>
      <c r="T182" s="14"/>
      <c r="U182" s="14"/>
      <c r="V182" s="428"/>
      <c r="W182" s="14"/>
      <c r="X182" s="14"/>
      <c r="Y182" s="14"/>
      <c r="Z182" s="14"/>
      <c r="AA182" s="14"/>
      <c r="AB182" s="14"/>
      <c r="AC182" s="14"/>
      <c r="AD182" s="428"/>
      <c r="AE182" s="14"/>
      <c r="AF182" s="14"/>
      <c r="AG182" s="14"/>
      <c r="AH182" s="14"/>
      <c r="AI182" s="14"/>
      <c r="AJ182" s="14"/>
    </row>
    <row r="183" spans="1:36" ht="14" hidden="1" customHeight="1" thickBot="1" x14ac:dyDescent="0.2">
      <c r="A183" t="str">
        <f>Nutrients!B183</f>
        <v xml:space="preserve">NFP Soybean meal w/88% NE of corn </v>
      </c>
      <c r="B183" s="14"/>
      <c r="C183" s="14"/>
      <c r="D183" s="14"/>
      <c r="E183" s="14"/>
      <c r="F183" s="14"/>
      <c r="G183" s="14"/>
      <c r="H183" s="428"/>
      <c r="I183" s="14"/>
      <c r="J183" s="14"/>
      <c r="K183" s="14"/>
      <c r="L183" s="14"/>
      <c r="M183" s="14"/>
      <c r="N183" s="14"/>
      <c r="O183" s="428"/>
      <c r="P183" s="14"/>
      <c r="Q183" s="14"/>
      <c r="R183" s="14"/>
      <c r="S183" s="14"/>
      <c r="T183" s="14"/>
      <c r="U183" s="14"/>
      <c r="V183" s="428"/>
      <c r="W183" s="14"/>
      <c r="X183" s="14"/>
      <c r="Y183" s="14"/>
      <c r="Z183" s="14"/>
      <c r="AA183" s="14"/>
      <c r="AB183" s="14"/>
      <c r="AC183" s="14"/>
      <c r="AD183" s="428"/>
      <c r="AE183" s="14"/>
      <c r="AF183" s="14"/>
      <c r="AG183" s="14"/>
      <c r="AH183" s="14"/>
      <c r="AI183" s="14"/>
      <c r="AJ183" s="14"/>
    </row>
    <row r="184" spans="1:36" ht="14" hidden="1" customHeight="1" thickBot="1" x14ac:dyDescent="0.2">
      <c r="A184" t="str">
        <f>Nutrients!B184</f>
        <v>AV-E Digest NFP</v>
      </c>
      <c r="B184" s="14"/>
      <c r="C184" s="14"/>
      <c r="D184" s="14"/>
      <c r="E184" s="14"/>
      <c r="F184" s="14"/>
      <c r="G184" s="14"/>
      <c r="H184" s="428"/>
      <c r="I184" s="14"/>
      <c r="J184" s="14"/>
      <c r="K184" s="14"/>
      <c r="L184" s="14"/>
      <c r="M184" s="14"/>
      <c r="N184" s="14"/>
      <c r="O184" s="428"/>
      <c r="P184" s="14"/>
      <c r="Q184" s="14"/>
      <c r="R184" s="14"/>
      <c r="S184" s="14"/>
      <c r="T184" s="14"/>
      <c r="U184" s="14"/>
      <c r="V184" s="428"/>
      <c r="W184" s="14"/>
      <c r="X184" s="14"/>
      <c r="Y184" s="14"/>
      <c r="Z184" s="14"/>
      <c r="AA184" s="14"/>
      <c r="AB184" s="14"/>
      <c r="AC184" s="14"/>
      <c r="AD184" s="428"/>
      <c r="AE184" s="14"/>
      <c r="AF184" s="14"/>
      <c r="AG184" s="14"/>
      <c r="AH184" s="14"/>
      <c r="AI184" s="14"/>
      <c r="AJ184" s="14"/>
    </row>
    <row r="185" spans="1:36" ht="14" hidden="1" customHeight="1" thickBot="1" x14ac:dyDescent="0.2">
      <c r="A185" t="str">
        <f>Nutrients!B185</f>
        <v>QFP Cereal Blend NFP</v>
      </c>
      <c r="B185" s="14"/>
      <c r="C185" s="14"/>
      <c r="D185" s="14"/>
      <c r="E185" s="14"/>
      <c r="F185" s="14"/>
      <c r="G185" s="14"/>
      <c r="H185" s="428"/>
      <c r="I185" s="14"/>
      <c r="J185" s="14"/>
      <c r="K185" s="14"/>
      <c r="L185" s="14"/>
      <c r="M185" s="14"/>
      <c r="N185" s="14"/>
      <c r="O185" s="428"/>
      <c r="P185" s="14"/>
      <c r="Q185" s="14"/>
      <c r="R185" s="14"/>
      <c r="S185" s="14"/>
      <c r="T185" s="14"/>
      <c r="U185" s="14"/>
      <c r="V185" s="428"/>
      <c r="W185" s="14"/>
      <c r="X185" s="14"/>
      <c r="Y185" s="14"/>
      <c r="Z185" s="14"/>
      <c r="AA185" s="14"/>
      <c r="AB185" s="14"/>
      <c r="AC185" s="14"/>
      <c r="AD185" s="428"/>
      <c r="AE185" s="14"/>
      <c r="AF185" s="14"/>
      <c r="AG185" s="14"/>
      <c r="AH185" s="14"/>
      <c r="AI185" s="14"/>
      <c r="AJ185" s="14"/>
    </row>
    <row r="186" spans="1:36" ht="14" hidden="1" customHeight="1" thickBot="1" x14ac:dyDescent="0.2">
      <c r="A186" t="str">
        <f>Nutrients!B186</f>
        <v>FXP Ani-Tek NFP</v>
      </c>
      <c r="B186" s="14"/>
      <c r="C186" s="14"/>
      <c r="D186" s="14"/>
      <c r="E186" s="14"/>
      <c r="F186" s="14"/>
      <c r="G186" s="14"/>
      <c r="H186" s="428"/>
      <c r="I186" s="14"/>
      <c r="J186" s="14"/>
      <c r="K186" s="14"/>
      <c r="L186" s="14"/>
      <c r="M186" s="14"/>
      <c r="N186" s="14"/>
      <c r="O186" s="428"/>
      <c r="P186" s="14"/>
      <c r="Q186" s="14"/>
      <c r="R186" s="14"/>
      <c r="S186" s="14"/>
      <c r="T186" s="14"/>
      <c r="U186" s="14"/>
      <c r="V186" s="428"/>
      <c r="W186" s="14"/>
      <c r="X186" s="14"/>
      <c r="Y186" s="14"/>
      <c r="Z186" s="14"/>
      <c r="AA186" s="14"/>
      <c r="AB186" s="14"/>
      <c r="AC186" s="14"/>
      <c r="AD186" s="428"/>
      <c r="AE186" s="14"/>
      <c r="AF186" s="14"/>
      <c r="AG186" s="14"/>
      <c r="AH186" s="14"/>
      <c r="AI186" s="14"/>
      <c r="AJ186" s="14"/>
    </row>
    <row r="187" spans="1:36" ht="14" hidden="1" customHeight="1" thickBot="1" x14ac:dyDescent="0.2">
      <c r="A187" t="str">
        <f>Nutrients!B187</f>
        <v>NFP VTM Grower (2021)</v>
      </c>
      <c r="B187" s="14"/>
      <c r="C187" s="14"/>
      <c r="D187" s="14"/>
      <c r="E187" s="14"/>
      <c r="F187" s="14"/>
      <c r="G187" s="14"/>
      <c r="H187" s="428"/>
      <c r="I187" s="14"/>
      <c r="J187" s="14"/>
      <c r="K187" s="14"/>
      <c r="L187" s="14"/>
      <c r="M187" s="14"/>
      <c r="N187" s="14"/>
      <c r="O187" s="428"/>
      <c r="P187" s="14"/>
      <c r="Q187" s="14"/>
      <c r="R187" s="14"/>
      <c r="S187" s="14"/>
      <c r="T187" s="14"/>
      <c r="U187" s="14"/>
      <c r="V187" s="428"/>
      <c r="W187" s="14"/>
      <c r="X187" s="14"/>
      <c r="Y187" s="14"/>
      <c r="Z187" s="14"/>
      <c r="AA187" s="14"/>
      <c r="AB187" s="14"/>
      <c r="AC187" s="14"/>
      <c r="AD187" s="428"/>
      <c r="AE187" s="14"/>
      <c r="AF187" s="14"/>
      <c r="AG187" s="14"/>
      <c r="AH187" s="14"/>
      <c r="AI187" s="14"/>
      <c r="AJ187" s="14"/>
    </row>
    <row r="188" spans="1:36" ht="14" hidden="1" customHeight="1" thickBot="1" x14ac:dyDescent="0.2">
      <c r="A188" t="str">
        <f>Nutrients!B188</f>
        <v>NFP VTM Sow (2021)</v>
      </c>
      <c r="B188" s="14"/>
      <c r="C188" s="14"/>
      <c r="D188" s="14"/>
      <c r="E188" s="14"/>
      <c r="F188" s="14"/>
      <c r="G188" s="14"/>
      <c r="H188" s="428"/>
      <c r="I188" s="14"/>
      <c r="J188" s="14"/>
      <c r="K188" s="14"/>
      <c r="L188" s="14"/>
      <c r="M188" s="14"/>
      <c r="N188" s="14"/>
      <c r="O188" s="428"/>
      <c r="P188" s="14"/>
      <c r="Q188" s="14"/>
      <c r="R188" s="14"/>
      <c r="S188" s="14"/>
      <c r="T188" s="14"/>
      <c r="U188" s="14"/>
      <c r="V188" s="428"/>
      <c r="W188" s="14"/>
      <c r="X188" s="14"/>
      <c r="Y188" s="14"/>
      <c r="Z188" s="14"/>
      <c r="AA188" s="14"/>
      <c r="AB188" s="14"/>
      <c r="AC188" s="14"/>
      <c r="AD188" s="428"/>
      <c r="AE188" s="14"/>
      <c r="AF188" s="14"/>
      <c r="AG188" s="14"/>
      <c r="AH188" s="14"/>
      <c r="AI188" s="14"/>
      <c r="AJ188" s="14"/>
    </row>
    <row r="189" spans="1:36" ht="14" hidden="1" customHeight="1" thickBot="1" x14ac:dyDescent="0.2">
      <c r="A189" t="str">
        <f>Nutrients!B189</f>
        <v>VevoVitall NFP</v>
      </c>
      <c r="B189" s="14"/>
      <c r="C189" s="14"/>
      <c r="D189" s="14"/>
      <c r="E189" s="14"/>
      <c r="F189" s="14"/>
      <c r="G189" s="14"/>
      <c r="H189" s="428"/>
      <c r="I189" s="14"/>
      <c r="J189" s="14"/>
      <c r="K189" s="14"/>
      <c r="L189" s="14"/>
      <c r="M189" s="14"/>
      <c r="N189" s="14"/>
      <c r="O189" s="428"/>
      <c r="P189" s="14"/>
      <c r="Q189" s="14"/>
      <c r="R189" s="14"/>
      <c r="S189" s="14"/>
      <c r="T189" s="14"/>
      <c r="U189" s="14"/>
      <c r="V189" s="428"/>
      <c r="W189" s="14"/>
      <c r="X189" s="14"/>
      <c r="Y189" s="14"/>
      <c r="Z189" s="14"/>
      <c r="AA189" s="14"/>
      <c r="AB189" s="14"/>
      <c r="AC189" s="14"/>
      <c r="AD189" s="428"/>
      <c r="AE189" s="14"/>
      <c r="AF189" s="14"/>
      <c r="AG189" s="14"/>
      <c r="AH189" s="14"/>
      <c r="AI189" s="14"/>
      <c r="AJ189" s="14"/>
    </row>
    <row r="190" spans="1:36" ht="14" hidden="1" customHeight="1" thickBot="1" x14ac:dyDescent="0.2">
      <c r="A190" t="str">
        <f>Nutrients!B190</f>
        <v>MEPRO NFP</v>
      </c>
      <c r="B190" s="14"/>
      <c r="C190" s="14"/>
      <c r="D190" s="14"/>
      <c r="E190" s="14"/>
      <c r="F190" s="14"/>
      <c r="G190" s="14"/>
      <c r="H190" s="428"/>
      <c r="I190" s="14"/>
      <c r="J190" s="14"/>
      <c r="K190" s="14"/>
      <c r="L190" s="14"/>
      <c r="M190" s="14"/>
      <c r="N190" s="14"/>
      <c r="O190" s="428"/>
      <c r="P190" s="14"/>
      <c r="Q190" s="14"/>
      <c r="R190" s="14"/>
      <c r="S190" s="14"/>
      <c r="T190" s="14"/>
      <c r="U190" s="14"/>
      <c r="V190" s="428"/>
      <c r="W190" s="14"/>
      <c r="X190" s="14"/>
      <c r="Y190" s="14"/>
      <c r="Z190" s="14"/>
      <c r="AA190" s="14"/>
      <c r="AB190" s="14"/>
      <c r="AC190" s="14"/>
      <c r="AD190" s="428"/>
      <c r="AE190" s="14"/>
      <c r="AF190" s="14"/>
      <c r="AG190" s="14"/>
      <c r="AH190" s="14"/>
      <c r="AI190" s="14"/>
      <c r="AJ190" s="14"/>
    </row>
    <row r="191" spans="1:36" ht="14" hidden="1" customHeight="1" thickBot="1" x14ac:dyDescent="0.2">
      <c r="A191" t="str">
        <f>Nutrients!B191</f>
        <v>AlphaGal 280 P NFP</v>
      </c>
      <c r="B191" s="14"/>
      <c r="C191" s="14"/>
      <c r="D191" s="14"/>
      <c r="E191" s="14"/>
      <c r="F191" s="14"/>
      <c r="G191" s="14"/>
      <c r="H191" s="428"/>
      <c r="I191" s="14"/>
      <c r="J191" s="14"/>
      <c r="K191" s="14"/>
      <c r="L191" s="14"/>
      <c r="M191" s="14"/>
      <c r="N191" s="14"/>
      <c r="O191" s="428"/>
      <c r="P191" s="14"/>
      <c r="Q191" s="14"/>
      <c r="R191" s="14"/>
      <c r="S191" s="14"/>
      <c r="T191" s="14"/>
      <c r="U191" s="14"/>
      <c r="V191" s="428"/>
      <c r="W191" s="14"/>
      <c r="X191" s="14"/>
      <c r="Y191" s="14"/>
      <c r="Z191" s="14"/>
      <c r="AA191" s="14"/>
      <c r="AB191" s="14"/>
      <c r="AC191" s="14"/>
      <c r="AD191" s="428"/>
      <c r="AE191" s="14"/>
      <c r="AF191" s="14"/>
      <c r="AG191" s="14"/>
      <c r="AH191" s="14"/>
      <c r="AI191" s="14"/>
      <c r="AJ191" s="14"/>
    </row>
    <row r="192" spans="1:36" ht="14" hidden="1" customHeight="1" thickBot="1" x14ac:dyDescent="0.2">
      <c r="A192" t="str">
        <f>Nutrients!B192</f>
        <v xml:space="preserve">NFP Custom Manganese </v>
      </c>
      <c r="B192" s="14"/>
      <c r="C192" s="14"/>
      <c r="D192" s="14"/>
      <c r="E192" s="14"/>
      <c r="F192" s="14"/>
      <c r="G192" s="14"/>
      <c r="H192" s="428"/>
      <c r="I192" s="14"/>
      <c r="J192" s="14"/>
      <c r="K192" s="14"/>
      <c r="L192" s="14"/>
      <c r="M192" s="14"/>
      <c r="N192" s="14"/>
      <c r="O192" s="428"/>
      <c r="P192" s="14"/>
      <c r="Q192" s="14"/>
      <c r="R192" s="14"/>
      <c r="S192" s="14"/>
      <c r="T192" s="14"/>
      <c r="U192" s="14"/>
      <c r="V192" s="428"/>
      <c r="W192" s="14"/>
      <c r="X192" s="14"/>
      <c r="Y192" s="14"/>
      <c r="Z192" s="14"/>
      <c r="AA192" s="14"/>
      <c r="AB192" s="14"/>
      <c r="AC192" s="14"/>
      <c r="AD192" s="428"/>
      <c r="AE192" s="14"/>
      <c r="AF192" s="14"/>
      <c r="AG192" s="14"/>
      <c r="AH192" s="14"/>
      <c r="AI192" s="14"/>
      <c r="AJ192" s="14"/>
    </row>
    <row r="193" spans="1:36" ht="14" hidden="1" customHeight="1" thickBot="1" x14ac:dyDescent="0.2">
      <c r="A193" t="str">
        <f>Nutrients!B193</f>
        <v>Fat Build R2 All Veg 4000 NFP</v>
      </c>
      <c r="B193" s="14"/>
      <c r="C193" s="14"/>
      <c r="D193" s="14"/>
      <c r="E193" s="14"/>
      <c r="F193" s="14"/>
      <c r="G193" s="14"/>
      <c r="H193" s="428"/>
      <c r="I193" s="14"/>
      <c r="J193" s="14"/>
      <c r="K193" s="14"/>
      <c r="L193" s="14"/>
      <c r="M193" s="14"/>
      <c r="N193" s="14"/>
      <c r="O193" s="428"/>
      <c r="P193" s="14"/>
      <c r="Q193" s="14"/>
      <c r="R193" s="14"/>
      <c r="S193" s="14"/>
      <c r="T193" s="14"/>
      <c r="U193" s="14"/>
      <c r="V193" s="428"/>
      <c r="W193" s="14"/>
      <c r="X193" s="14"/>
      <c r="Y193" s="14"/>
      <c r="Z193" s="14"/>
      <c r="AA193" s="14"/>
      <c r="AB193" s="14"/>
      <c r="AC193" s="14"/>
      <c r="AD193" s="428"/>
      <c r="AE193" s="14"/>
      <c r="AF193" s="14"/>
      <c r="AG193" s="14"/>
      <c r="AH193" s="14"/>
      <c r="AI193" s="14"/>
      <c r="AJ193" s="14"/>
    </row>
    <row r="194" spans="1:36" ht="14" hidden="1" customHeight="1" thickBot="1" x14ac:dyDescent="0.2">
      <c r="A194" t="str">
        <f>Nutrients!B194</f>
        <v>LipoVital GL 90 NFP</v>
      </c>
      <c r="B194" s="14"/>
      <c r="C194" s="14"/>
      <c r="D194" s="14"/>
      <c r="E194" s="14"/>
      <c r="F194" s="14"/>
      <c r="G194" s="14"/>
      <c r="H194" s="428"/>
      <c r="I194" s="14"/>
      <c r="J194" s="14"/>
      <c r="K194" s="14"/>
      <c r="L194" s="14"/>
      <c r="M194" s="14"/>
      <c r="N194" s="14"/>
      <c r="O194" s="428"/>
      <c r="P194" s="14"/>
      <c r="Q194" s="14"/>
      <c r="R194" s="14"/>
      <c r="S194" s="14"/>
      <c r="T194" s="14"/>
      <c r="U194" s="14"/>
      <c r="V194" s="428"/>
      <c r="W194" s="14"/>
      <c r="X194" s="14"/>
      <c r="Y194" s="14"/>
      <c r="Z194" s="14"/>
      <c r="AA194" s="14"/>
      <c r="AB194" s="14"/>
      <c r="AC194" s="14"/>
      <c r="AD194" s="428"/>
      <c r="AE194" s="14"/>
      <c r="AF194" s="14"/>
      <c r="AG194" s="14"/>
      <c r="AH194" s="14"/>
      <c r="AI194" s="14"/>
      <c r="AJ194" s="14"/>
    </row>
    <row r="195" spans="1:36" ht="14" hidden="1" customHeight="1" thickBot="1" x14ac:dyDescent="0.2">
      <c r="A195" t="str">
        <f>Nutrients!B195</f>
        <v>NFP Custom Zinc</v>
      </c>
      <c r="B195" s="14"/>
      <c r="C195" s="14"/>
      <c r="D195" s="14"/>
      <c r="E195" s="14"/>
      <c r="F195" s="14"/>
      <c r="G195" s="14"/>
      <c r="H195" s="428"/>
      <c r="I195" s="14"/>
      <c r="J195" s="14"/>
      <c r="K195" s="14"/>
      <c r="L195" s="14"/>
      <c r="M195" s="14"/>
      <c r="N195" s="14"/>
      <c r="O195" s="428"/>
      <c r="P195" s="14"/>
      <c r="Q195" s="14"/>
      <c r="R195" s="14"/>
      <c r="S195" s="14"/>
      <c r="T195" s="14"/>
      <c r="U195" s="14"/>
      <c r="V195" s="428"/>
      <c r="W195" s="14"/>
      <c r="X195" s="14"/>
      <c r="Y195" s="14"/>
      <c r="Z195" s="14"/>
      <c r="AA195" s="14"/>
      <c r="AB195" s="14"/>
      <c r="AC195" s="14"/>
      <c r="AD195" s="428"/>
      <c r="AE195" s="14"/>
      <c r="AF195" s="14"/>
      <c r="AG195" s="14"/>
      <c r="AH195" s="14"/>
      <c r="AI195" s="14"/>
      <c r="AJ195" s="14"/>
    </row>
    <row r="196" spans="1:36" ht="14" hidden="1" customHeight="1" thickBot="1" x14ac:dyDescent="0.2">
      <c r="A196" t="str">
        <f>Nutrients!B196</f>
        <v>THRPRO-L Threonine 80% NFP</v>
      </c>
      <c r="B196" s="14"/>
      <c r="C196" s="14"/>
      <c r="D196" s="14"/>
      <c r="E196" s="14"/>
      <c r="F196" s="14"/>
      <c r="G196" s="14"/>
      <c r="H196" s="428"/>
      <c r="I196" s="14"/>
      <c r="J196" s="14"/>
      <c r="K196" s="14"/>
      <c r="L196" s="14"/>
      <c r="M196" s="14"/>
      <c r="N196" s="14"/>
      <c r="O196" s="428"/>
      <c r="P196" s="14"/>
      <c r="Q196" s="14"/>
      <c r="R196" s="14"/>
      <c r="S196" s="14"/>
      <c r="T196" s="14"/>
      <c r="U196" s="14"/>
      <c r="V196" s="428"/>
      <c r="W196" s="14"/>
      <c r="X196" s="14"/>
      <c r="Y196" s="14"/>
      <c r="Z196" s="14"/>
      <c r="AA196" s="14"/>
      <c r="AB196" s="14"/>
      <c r="AC196" s="14"/>
      <c r="AD196" s="428"/>
      <c r="AE196" s="14"/>
      <c r="AF196" s="14"/>
      <c r="AG196" s="14"/>
      <c r="AH196" s="14"/>
      <c r="AI196" s="14"/>
      <c r="AJ196" s="14"/>
    </row>
    <row r="197" spans="1:36" ht="14" hidden="1" customHeight="1" thickBot="1" x14ac:dyDescent="0.2">
      <c r="A197" t="str">
        <f>Nutrients!B197</f>
        <v>Copper Chloride Intellibond TBCC NFP</v>
      </c>
      <c r="B197" s="14"/>
      <c r="C197" s="14"/>
      <c r="D197" s="14"/>
      <c r="E197" s="14"/>
      <c r="F197" s="14"/>
      <c r="G197" s="14"/>
      <c r="H197" s="428"/>
      <c r="I197" s="14"/>
      <c r="J197" s="14"/>
      <c r="K197" s="14"/>
      <c r="L197" s="14"/>
      <c r="M197" s="14"/>
      <c r="N197" s="14"/>
      <c r="O197" s="428"/>
      <c r="P197" s="14"/>
      <c r="Q197" s="14"/>
      <c r="R197" s="14"/>
      <c r="S197" s="14"/>
      <c r="T197" s="14"/>
      <c r="U197" s="14"/>
      <c r="V197" s="428"/>
      <c r="W197" s="14"/>
      <c r="X197" s="14"/>
      <c r="Y197" s="14"/>
      <c r="Z197" s="14"/>
      <c r="AA197" s="14"/>
      <c r="AB197" s="14"/>
      <c r="AC197" s="14"/>
      <c r="AD197" s="428"/>
      <c r="AE197" s="14"/>
      <c r="AF197" s="14"/>
      <c r="AG197" s="14"/>
      <c r="AH197" s="14"/>
      <c r="AI197" s="14"/>
      <c r="AJ197" s="14"/>
    </row>
    <row r="198" spans="1:36" ht="14" hidden="1" customHeight="1" thickBot="1" x14ac:dyDescent="0.2">
      <c r="A198" t="str">
        <f>Nutrients!B198</f>
        <v>DDGS 7.5% Oil Green Plains NFP</v>
      </c>
      <c r="B198" s="14"/>
      <c r="C198" s="14"/>
      <c r="D198" s="14"/>
      <c r="E198" s="14"/>
      <c r="F198" s="14"/>
      <c r="G198" s="14"/>
      <c r="H198" s="428"/>
      <c r="I198" s="14"/>
      <c r="J198" s="14"/>
      <c r="K198" s="14"/>
      <c r="L198" s="14"/>
      <c r="M198" s="14"/>
      <c r="N198" s="14"/>
      <c r="O198" s="428"/>
      <c r="P198" s="14"/>
      <c r="Q198" s="14"/>
      <c r="R198" s="14"/>
      <c r="S198" s="14"/>
      <c r="T198" s="14"/>
      <c r="U198" s="14"/>
      <c r="V198" s="428"/>
      <c r="W198" s="14"/>
      <c r="X198" s="14"/>
      <c r="Y198" s="14"/>
      <c r="Z198" s="14"/>
      <c r="AA198" s="14"/>
      <c r="AB198" s="14"/>
      <c r="AC198" s="14"/>
      <c r="AD198" s="428"/>
      <c r="AE198" s="14"/>
      <c r="AF198" s="14"/>
      <c r="AG198" s="14"/>
      <c r="AH198" s="14"/>
      <c r="AI198" s="14"/>
      <c r="AJ198" s="14"/>
    </row>
    <row r="199" spans="1:36" ht="14" hidden="1" customHeight="1" thickBot="1" x14ac:dyDescent="0.2">
      <c r="A199" t="str">
        <f>Nutrients!B199</f>
        <v>NHF GF VTM 2#</v>
      </c>
      <c r="B199" s="14"/>
      <c r="C199" s="14"/>
      <c r="D199" s="14"/>
      <c r="E199" s="14"/>
      <c r="F199" s="14"/>
      <c r="G199" s="14"/>
      <c r="H199" s="428"/>
      <c r="I199" s="14"/>
      <c r="J199" s="14"/>
      <c r="K199" s="14"/>
      <c r="L199" s="14"/>
      <c r="M199" s="14"/>
      <c r="N199" s="14"/>
      <c r="O199" s="428"/>
      <c r="P199" s="14"/>
      <c r="Q199" s="14"/>
      <c r="R199" s="14"/>
      <c r="S199" s="14"/>
      <c r="T199" s="14"/>
      <c r="U199" s="14"/>
      <c r="V199" s="428"/>
      <c r="W199" s="14"/>
      <c r="X199" s="14"/>
      <c r="Y199" s="14"/>
      <c r="Z199" s="14"/>
      <c r="AA199" s="14"/>
      <c r="AB199" s="14"/>
      <c r="AC199" s="14"/>
      <c r="AD199" s="428"/>
      <c r="AE199" s="14"/>
      <c r="AF199" s="14"/>
      <c r="AG199" s="14"/>
      <c r="AH199" s="14"/>
      <c r="AI199" s="14"/>
      <c r="AJ199" s="14"/>
    </row>
    <row r="200" spans="1:36" ht="14" hidden="1" customHeight="1" thickBot="1" x14ac:dyDescent="0.2">
      <c r="A200" t="str">
        <f>Nutrients!B200</f>
        <v xml:space="preserve">Hubbard Vit Premix </v>
      </c>
      <c r="B200" s="14"/>
      <c r="C200" s="14"/>
      <c r="D200" s="14"/>
      <c r="E200" s="14"/>
      <c r="F200" s="14"/>
      <c r="G200" s="14"/>
      <c r="H200" s="428"/>
      <c r="I200" s="14"/>
      <c r="J200" s="14"/>
      <c r="K200" s="14"/>
      <c r="L200" s="14"/>
      <c r="M200" s="14"/>
      <c r="N200" s="14"/>
      <c r="O200" s="428"/>
      <c r="P200" s="14"/>
      <c r="Q200" s="14"/>
      <c r="R200" s="14"/>
      <c r="S200" s="14"/>
      <c r="T200" s="14"/>
      <c r="U200" s="14"/>
      <c r="V200" s="428"/>
      <c r="W200" s="14"/>
      <c r="X200" s="14"/>
      <c r="Y200" s="14"/>
      <c r="Z200" s="14"/>
      <c r="AA200" s="14"/>
      <c r="AB200" s="14"/>
      <c r="AC200" s="14"/>
      <c r="AD200" s="428"/>
      <c r="AE200" s="14"/>
      <c r="AF200" s="14"/>
      <c r="AG200" s="14"/>
      <c r="AH200" s="14"/>
      <c r="AI200" s="14"/>
      <c r="AJ200" s="14"/>
    </row>
    <row r="201" spans="1:36" ht="14" hidden="1" customHeight="1" thickBot="1" x14ac:dyDescent="0.2">
      <c r="A201" t="str">
        <f>Nutrients!B201</f>
        <v>Hubbard TMP</v>
      </c>
      <c r="B201" s="14"/>
      <c r="C201" s="14"/>
      <c r="D201" s="14"/>
      <c r="E201" s="14"/>
      <c r="F201" s="14"/>
      <c r="G201" s="14"/>
      <c r="H201" s="428"/>
      <c r="I201" s="14"/>
      <c r="J201" s="14"/>
      <c r="K201" s="14"/>
      <c r="L201" s="14"/>
      <c r="M201" s="14"/>
      <c r="N201" s="14"/>
      <c r="O201" s="428"/>
      <c r="P201" s="14"/>
      <c r="Q201" s="14"/>
      <c r="R201" s="14"/>
      <c r="S201" s="14"/>
      <c r="T201" s="14"/>
      <c r="U201" s="14"/>
      <c r="V201" s="428"/>
      <c r="W201" s="14"/>
      <c r="X201" s="14"/>
      <c r="Y201" s="14"/>
      <c r="Z201" s="14"/>
      <c r="AA201" s="14"/>
      <c r="AB201" s="14"/>
      <c r="AC201" s="14"/>
      <c r="AD201" s="428"/>
      <c r="AE201" s="14"/>
      <c r="AF201" s="14"/>
      <c r="AG201" s="14"/>
      <c r="AH201" s="14"/>
      <c r="AI201" s="14"/>
      <c r="AJ201" s="14"/>
    </row>
    <row r="202" spans="1:36" ht="14" hidden="1" customHeight="1" thickBot="1" x14ac:dyDescent="0.2">
      <c r="A202" t="str">
        <f>Nutrients!B202</f>
        <v>Inorganic Se 600 ppm Hubbard</v>
      </c>
      <c r="B202" s="14"/>
      <c r="C202" s="14"/>
      <c r="D202" s="14"/>
      <c r="E202" s="14"/>
      <c r="F202" s="14"/>
      <c r="G202" s="14"/>
      <c r="H202" s="428"/>
      <c r="I202" s="14"/>
      <c r="J202" s="14"/>
      <c r="K202" s="14"/>
      <c r="L202" s="14"/>
      <c r="M202" s="14"/>
      <c r="N202" s="14"/>
      <c r="O202" s="428"/>
      <c r="P202" s="14"/>
      <c r="Q202" s="14"/>
      <c r="R202" s="14"/>
      <c r="S202" s="14"/>
      <c r="T202" s="14"/>
      <c r="U202" s="14"/>
      <c r="V202" s="428"/>
      <c r="W202" s="14"/>
      <c r="X202" s="14"/>
      <c r="Y202" s="14"/>
      <c r="Z202" s="14"/>
      <c r="AA202" s="14"/>
      <c r="AB202" s="14"/>
      <c r="AC202" s="14"/>
      <c r="AD202" s="428"/>
      <c r="AE202" s="14"/>
      <c r="AF202" s="14"/>
      <c r="AG202" s="14"/>
      <c r="AH202" s="14"/>
      <c r="AI202" s="14"/>
      <c r="AJ202" s="14"/>
    </row>
    <row r="203" spans="1:36" ht="14" hidden="1" customHeight="1" thickBot="1" x14ac:dyDescent="0.2">
      <c r="A203" t="str">
        <f>Nutrients!B203</f>
        <v>Quantum Blue  5G Hubbard</v>
      </c>
      <c r="B203" s="14"/>
      <c r="C203" s="14"/>
      <c r="D203" s="14"/>
      <c r="E203" s="14"/>
      <c r="F203" s="14"/>
      <c r="G203" s="14"/>
      <c r="H203" s="428"/>
      <c r="I203" s="14"/>
      <c r="J203" s="14"/>
      <c r="K203" s="14"/>
      <c r="L203" s="14"/>
      <c r="M203" s="14"/>
      <c r="N203" s="14"/>
      <c r="O203" s="428"/>
      <c r="P203" s="14"/>
      <c r="Q203" s="14"/>
      <c r="R203" s="14"/>
      <c r="S203" s="14"/>
      <c r="T203" s="14"/>
      <c r="U203" s="14"/>
      <c r="V203" s="428"/>
      <c r="W203" s="14"/>
      <c r="X203" s="14"/>
      <c r="Y203" s="14"/>
      <c r="Z203" s="14"/>
      <c r="AA203" s="14"/>
      <c r="AB203" s="14"/>
      <c r="AC203" s="14"/>
      <c r="AD203" s="428"/>
      <c r="AE203" s="14"/>
      <c r="AF203" s="14"/>
      <c r="AG203" s="14"/>
      <c r="AH203" s="14"/>
      <c r="AI203" s="14"/>
      <c r="AJ203" s="14"/>
    </row>
    <row r="204" spans="1:36" ht="14" hidden="1" customHeight="1" thickBot="1" x14ac:dyDescent="0.2">
      <c r="A204" t="str">
        <f>Nutrients!B204</f>
        <v>TASA Prime meal Hubbard</v>
      </c>
      <c r="B204" s="14"/>
      <c r="C204" s="14"/>
      <c r="D204" s="14"/>
      <c r="E204" s="14"/>
      <c r="F204" s="14"/>
      <c r="G204" s="14"/>
      <c r="H204" s="428"/>
      <c r="I204" s="14"/>
      <c r="J204" s="14"/>
      <c r="K204" s="14"/>
      <c r="L204" s="14"/>
      <c r="M204" s="14"/>
      <c r="N204" s="14"/>
      <c r="O204" s="428"/>
      <c r="P204" s="14"/>
      <c r="Q204" s="14"/>
      <c r="R204" s="14"/>
      <c r="S204" s="14"/>
      <c r="T204" s="14"/>
      <c r="U204" s="14"/>
      <c r="V204" s="428"/>
      <c r="W204" s="14"/>
      <c r="X204" s="14"/>
      <c r="Y204" s="14"/>
      <c r="Z204" s="14"/>
      <c r="AA204" s="14"/>
      <c r="AB204" s="14"/>
      <c r="AC204" s="14"/>
      <c r="AD204" s="428"/>
      <c r="AE204" s="14"/>
      <c r="AF204" s="14"/>
      <c r="AG204" s="14"/>
      <c r="AH204" s="14"/>
      <c r="AI204" s="14"/>
      <c r="AJ204" s="14"/>
    </row>
    <row r="205" spans="1:36" ht="14" hidden="1" customHeight="1" thickBot="1" x14ac:dyDescent="0.2">
      <c r="A205" t="str">
        <f>Nutrients!B205</f>
        <v>TASA Swine Hubbard</v>
      </c>
      <c r="B205" s="14"/>
      <c r="C205" s="14"/>
      <c r="D205" s="14"/>
      <c r="E205" s="14"/>
      <c r="F205" s="14"/>
      <c r="G205" s="14"/>
      <c r="H205" s="428"/>
      <c r="I205" s="14"/>
      <c r="J205" s="14"/>
      <c r="K205" s="14"/>
      <c r="L205" s="14"/>
      <c r="M205" s="14"/>
      <c r="N205" s="14"/>
      <c r="O205" s="428"/>
      <c r="P205" s="14"/>
      <c r="Q205" s="14"/>
      <c r="R205" s="14"/>
      <c r="S205" s="14"/>
      <c r="T205" s="14"/>
      <c r="U205" s="14"/>
      <c r="V205" s="428"/>
      <c r="W205" s="14"/>
      <c r="X205" s="14"/>
      <c r="Y205" s="14"/>
      <c r="Z205" s="14"/>
      <c r="AA205" s="14"/>
      <c r="AB205" s="14"/>
      <c r="AC205" s="14"/>
      <c r="AD205" s="428"/>
      <c r="AE205" s="14"/>
      <c r="AF205" s="14"/>
      <c r="AG205" s="14"/>
      <c r="AH205" s="14"/>
      <c r="AI205" s="14"/>
      <c r="AJ205" s="14"/>
    </row>
    <row r="206" spans="1:36" ht="14" hidden="1" customHeight="1" thickBot="1" x14ac:dyDescent="0.2">
      <c r="A206" t="str">
        <f>Nutrients!B206</f>
        <v>TASA fish solubles Hubbard</v>
      </c>
      <c r="B206" s="14"/>
      <c r="C206" s="14"/>
      <c r="D206" s="14"/>
      <c r="E206" s="14"/>
      <c r="F206" s="14"/>
      <c r="G206" s="14"/>
      <c r="H206" s="428"/>
      <c r="I206" s="14"/>
      <c r="J206" s="14"/>
      <c r="K206" s="14"/>
      <c r="L206" s="14"/>
      <c r="M206" s="14"/>
      <c r="N206" s="14"/>
      <c r="O206" s="428"/>
      <c r="P206" s="14"/>
      <c r="Q206" s="14"/>
      <c r="R206" s="14"/>
      <c r="S206" s="14"/>
      <c r="T206" s="14"/>
      <c r="U206" s="14"/>
      <c r="V206" s="428"/>
      <c r="W206" s="14"/>
      <c r="X206" s="14"/>
      <c r="Y206" s="14"/>
      <c r="Z206" s="14"/>
      <c r="AA206" s="14"/>
      <c r="AB206" s="14"/>
      <c r="AC206" s="14"/>
      <c r="AD206" s="428"/>
      <c r="AE206" s="14"/>
      <c r="AF206" s="14"/>
      <c r="AG206" s="14"/>
      <c r="AH206" s="14"/>
      <c r="AI206" s="14"/>
      <c r="AJ206" s="14"/>
    </row>
    <row r="207" spans="1:36" ht="14" hidden="1" customHeight="1" thickBot="1" x14ac:dyDescent="0.2">
      <c r="A207" t="str">
        <f>Nutrients!B207</f>
        <v>Mepro + TASA additive Hubbard</v>
      </c>
      <c r="B207" s="14"/>
      <c r="C207" s="14"/>
      <c r="D207" s="14"/>
      <c r="E207" s="14"/>
      <c r="F207" s="14"/>
      <c r="G207" s="14"/>
      <c r="H207" s="428"/>
      <c r="I207" s="14"/>
      <c r="J207" s="14"/>
      <c r="K207" s="14"/>
      <c r="L207" s="14"/>
      <c r="M207" s="14"/>
      <c r="N207" s="14"/>
      <c r="O207" s="428"/>
      <c r="P207" s="14"/>
      <c r="Q207" s="14"/>
      <c r="R207" s="14"/>
      <c r="S207" s="14"/>
      <c r="T207" s="14"/>
      <c r="U207" s="14"/>
      <c r="V207" s="428"/>
      <c r="W207" s="14"/>
      <c r="X207" s="14"/>
      <c r="Y207" s="14"/>
      <c r="Z207" s="14"/>
      <c r="AA207" s="14"/>
      <c r="AB207" s="14"/>
      <c r="AC207" s="14"/>
      <c r="AD207" s="428"/>
      <c r="AE207" s="14"/>
      <c r="AF207" s="14"/>
      <c r="AG207" s="14"/>
      <c r="AH207" s="14"/>
      <c r="AI207" s="14"/>
      <c r="AJ207" s="14"/>
    </row>
    <row r="208" spans="1:36" ht="14" hidden="1" customHeight="1" thickBot="1" x14ac:dyDescent="0.2">
      <c r="A208" t="str">
        <f>Nutrients!B208</f>
        <v>TASA Prime + TASA additive Hubbard</v>
      </c>
      <c r="B208" s="14"/>
      <c r="C208" s="14"/>
      <c r="D208" s="14"/>
      <c r="E208" s="14"/>
      <c r="F208" s="14"/>
      <c r="G208" s="14"/>
      <c r="H208" s="428"/>
      <c r="I208" s="14"/>
      <c r="J208" s="14"/>
      <c r="K208" s="14"/>
      <c r="L208" s="14"/>
      <c r="M208" s="14"/>
      <c r="N208" s="14"/>
      <c r="O208" s="428"/>
      <c r="P208" s="14"/>
      <c r="Q208" s="14"/>
      <c r="R208" s="14"/>
      <c r="S208" s="14"/>
      <c r="T208" s="14"/>
      <c r="U208" s="14"/>
      <c r="V208" s="428"/>
      <c r="W208" s="14"/>
      <c r="X208" s="14"/>
      <c r="Y208" s="14"/>
      <c r="Z208" s="14"/>
      <c r="AA208" s="14"/>
      <c r="AB208" s="14"/>
      <c r="AC208" s="14"/>
      <c r="AD208" s="428"/>
      <c r="AE208" s="14"/>
      <c r="AF208" s="14"/>
      <c r="AG208" s="14"/>
      <c r="AH208" s="14"/>
      <c r="AI208" s="14"/>
      <c r="AJ208" s="14"/>
    </row>
    <row r="209" spans="1:36" ht="14" hidden="1" customHeight="1" thickBot="1" x14ac:dyDescent="0.2">
      <c r="A209" t="str">
        <f>Nutrients!B209</f>
        <v>NHF SOW VTM 4# 2022</v>
      </c>
      <c r="B209" s="14"/>
      <c r="C209" s="14"/>
      <c r="D209" s="14"/>
      <c r="E209" s="14"/>
      <c r="F209" s="14"/>
      <c r="G209" s="14"/>
      <c r="H209" s="428"/>
      <c r="I209" s="14"/>
      <c r="J209" s="14"/>
      <c r="K209" s="14"/>
      <c r="L209" s="14"/>
      <c r="M209" s="14"/>
      <c r="N209" s="14"/>
      <c r="O209" s="428"/>
      <c r="P209" s="14"/>
      <c r="Q209" s="14"/>
      <c r="R209" s="14"/>
      <c r="S209" s="14"/>
      <c r="T209" s="14"/>
      <c r="U209" s="14"/>
      <c r="V209" s="428"/>
      <c r="W209" s="14"/>
      <c r="X209" s="14"/>
      <c r="Y209" s="14"/>
      <c r="Z209" s="14"/>
      <c r="AA209" s="14"/>
      <c r="AB209" s="14"/>
      <c r="AC209" s="14"/>
      <c r="AD209" s="428"/>
      <c r="AE209" s="14"/>
      <c r="AF209" s="14"/>
      <c r="AG209" s="14"/>
      <c r="AH209" s="14"/>
      <c r="AI209" s="14"/>
      <c r="AJ209" s="14"/>
    </row>
    <row r="210" spans="1:36" ht="14" hidden="1" customHeight="1" thickBot="1" x14ac:dyDescent="0.2">
      <c r="A210" t="str">
        <f>Nutrients!B210</f>
        <v xml:space="preserve">ThrPro </v>
      </c>
      <c r="B210" s="14"/>
      <c r="C210" s="14"/>
      <c r="D210" s="14"/>
      <c r="E210" s="14"/>
      <c r="F210" s="14"/>
      <c r="G210" s="14"/>
      <c r="H210" s="428"/>
      <c r="I210" s="14"/>
      <c r="J210" s="14"/>
      <c r="K210" s="14"/>
      <c r="L210" s="14"/>
      <c r="M210" s="14"/>
      <c r="N210" s="14"/>
      <c r="O210" s="428"/>
      <c r="P210" s="14"/>
      <c r="Q210" s="14"/>
      <c r="R210" s="14"/>
      <c r="S210" s="14"/>
      <c r="T210" s="14"/>
      <c r="U210" s="14"/>
      <c r="V210" s="428"/>
      <c r="W210" s="14"/>
      <c r="X210" s="14"/>
      <c r="Y210" s="14"/>
      <c r="Z210" s="14"/>
      <c r="AA210" s="14"/>
      <c r="AB210" s="14"/>
      <c r="AC210" s="14"/>
      <c r="AD210" s="428"/>
      <c r="AE210" s="14"/>
      <c r="AF210" s="14"/>
      <c r="AG210" s="14"/>
      <c r="AH210" s="14"/>
      <c r="AI210" s="14"/>
      <c r="AJ210" s="14"/>
    </row>
    <row r="211" spans="1:36" ht="14" hidden="1" customHeight="1" thickBot="1" x14ac:dyDescent="0.2">
      <c r="A211" t="str">
        <f>Nutrients!B211</f>
        <v>NHF Optiphos Plus 2500 G</v>
      </c>
      <c r="B211" s="14"/>
      <c r="C211" s="14"/>
      <c r="D211" s="14"/>
      <c r="E211" s="14"/>
      <c r="F211" s="14"/>
      <c r="G211" s="14"/>
      <c r="H211" s="428"/>
      <c r="I211" s="14"/>
      <c r="J211" s="14"/>
      <c r="K211" s="14"/>
      <c r="L211" s="14"/>
      <c r="M211" s="14"/>
      <c r="N211" s="14"/>
      <c r="O211" s="428"/>
      <c r="P211" s="14"/>
      <c r="Q211" s="14"/>
      <c r="R211" s="14"/>
      <c r="S211" s="14"/>
      <c r="T211" s="14"/>
      <c r="U211" s="14"/>
      <c r="V211" s="428"/>
      <c r="W211" s="14"/>
      <c r="X211" s="14"/>
      <c r="Y211" s="14"/>
      <c r="Z211" s="14"/>
      <c r="AA211" s="14"/>
      <c r="AB211" s="14"/>
      <c r="AC211" s="14"/>
      <c r="AD211" s="428"/>
      <c r="AE211" s="14"/>
      <c r="AF211" s="14"/>
      <c r="AG211" s="14"/>
      <c r="AH211" s="14"/>
      <c r="AI211" s="14"/>
      <c r="AJ211" s="14"/>
    </row>
    <row r="212" spans="1:36" ht="14" hidden="1" customHeight="1" thickBot="1" x14ac:dyDescent="0.2">
      <c r="A212" t="str">
        <f>Nutrients!B212</f>
        <v>NHF Corn DDGS, Valero, Aurora</v>
      </c>
      <c r="B212" s="14"/>
      <c r="C212" s="14"/>
      <c r="D212" s="14"/>
      <c r="E212" s="14"/>
      <c r="F212" s="14"/>
      <c r="G212" s="14"/>
      <c r="H212" s="428"/>
      <c r="I212" s="14"/>
      <c r="J212" s="14"/>
      <c r="K212" s="14"/>
      <c r="L212" s="14"/>
      <c r="M212" s="14"/>
      <c r="N212" s="14"/>
      <c r="O212" s="428"/>
      <c r="P212" s="14"/>
      <c r="Q212" s="14"/>
      <c r="R212" s="14"/>
      <c r="S212" s="14"/>
      <c r="T212" s="14"/>
      <c r="U212" s="14"/>
      <c r="V212" s="428"/>
      <c r="W212" s="14"/>
      <c r="X212" s="14"/>
      <c r="Y212" s="14"/>
      <c r="Z212" s="14"/>
      <c r="AA212" s="14"/>
      <c r="AB212" s="14"/>
      <c r="AC212" s="14"/>
      <c r="AD212" s="428"/>
      <c r="AE212" s="14"/>
      <c r="AF212" s="14"/>
      <c r="AG212" s="14"/>
      <c r="AH212" s="14"/>
      <c r="AI212" s="14"/>
      <c r="AJ212" s="14"/>
    </row>
    <row r="213" spans="1:36" ht="14" hidden="1" customHeight="1" thickBot="1" x14ac:dyDescent="0.2">
      <c r="A213" t="str">
        <f>Nutrients!B213</f>
        <v>HP 300 Hubbard</v>
      </c>
      <c r="B213" s="14"/>
      <c r="C213" s="14"/>
      <c r="D213" s="14"/>
      <c r="E213" s="14"/>
      <c r="F213" s="14"/>
      <c r="G213" s="14"/>
      <c r="H213" s="428"/>
      <c r="I213" s="14"/>
      <c r="J213" s="14"/>
      <c r="K213" s="14"/>
      <c r="L213" s="14"/>
      <c r="M213" s="14"/>
      <c r="N213" s="14"/>
      <c r="O213" s="428"/>
      <c r="P213" s="14"/>
      <c r="Q213" s="14"/>
      <c r="R213" s="14"/>
      <c r="S213" s="14"/>
      <c r="T213" s="14"/>
      <c r="U213" s="14"/>
      <c r="V213" s="428"/>
      <c r="W213" s="14"/>
      <c r="X213" s="14"/>
      <c r="Y213" s="14"/>
      <c r="Z213" s="14"/>
      <c r="AA213" s="14"/>
      <c r="AB213" s="14"/>
      <c r="AC213" s="14"/>
      <c r="AD213" s="428"/>
      <c r="AE213" s="14"/>
      <c r="AF213" s="14"/>
      <c r="AG213" s="14"/>
      <c r="AH213" s="14"/>
      <c r="AI213" s="14"/>
      <c r="AJ213" s="14"/>
    </row>
    <row r="214" spans="1:36" ht="14" hidden="1" customHeight="1" thickBot="1" x14ac:dyDescent="0.2">
      <c r="A214" t="str">
        <f>Nutrients!B214</f>
        <v>NHF Corn DDGS, Illuminate for Aurora</v>
      </c>
      <c r="B214" s="14"/>
      <c r="C214" s="14"/>
      <c r="D214" s="14"/>
      <c r="E214" s="14"/>
      <c r="F214" s="14"/>
      <c r="G214" s="14"/>
      <c r="H214" s="428"/>
      <c r="I214" s="14"/>
      <c r="J214" s="14"/>
      <c r="K214" s="14"/>
      <c r="L214" s="14"/>
      <c r="M214" s="14"/>
      <c r="N214" s="14"/>
      <c r="O214" s="428"/>
      <c r="P214" s="14"/>
      <c r="Q214" s="14"/>
      <c r="R214" s="14"/>
      <c r="S214" s="14"/>
      <c r="T214" s="14"/>
      <c r="U214" s="14"/>
      <c r="V214" s="428"/>
      <c r="W214" s="14"/>
      <c r="X214" s="14"/>
      <c r="Y214" s="14"/>
      <c r="Z214" s="14"/>
      <c r="AA214" s="14"/>
      <c r="AB214" s="14"/>
      <c r="AC214" s="14"/>
      <c r="AD214" s="428"/>
      <c r="AE214" s="14"/>
      <c r="AF214" s="14"/>
      <c r="AG214" s="14"/>
      <c r="AH214" s="14"/>
      <c r="AI214" s="14"/>
      <c r="AJ214" s="14"/>
    </row>
    <row r="215" spans="1:36" ht="14" hidden="1" customHeight="1" thickBot="1" x14ac:dyDescent="0.2">
      <c r="A215" t="str">
        <f>Nutrients!B215</f>
        <v>NFP Corn DDGS, MO analysis</v>
      </c>
      <c r="B215" s="14"/>
      <c r="C215" s="14"/>
      <c r="D215" s="14"/>
      <c r="E215" s="14"/>
      <c r="F215" s="14"/>
      <c r="G215" s="14"/>
      <c r="H215" s="428"/>
      <c r="I215" s="14"/>
      <c r="J215" s="14"/>
      <c r="K215" s="14"/>
      <c r="L215" s="14"/>
      <c r="M215" s="14"/>
      <c r="N215" s="14"/>
      <c r="O215" s="428"/>
      <c r="P215" s="14"/>
      <c r="Q215" s="14"/>
      <c r="R215" s="14"/>
      <c r="S215" s="14"/>
      <c r="T215" s="14"/>
      <c r="U215" s="14"/>
      <c r="V215" s="428"/>
      <c r="W215" s="14"/>
      <c r="X215" s="14"/>
      <c r="Y215" s="14"/>
      <c r="Z215" s="14"/>
      <c r="AA215" s="14"/>
      <c r="AB215" s="14"/>
      <c r="AC215" s="14"/>
      <c r="AD215" s="428"/>
      <c r="AE215" s="14"/>
      <c r="AF215" s="14"/>
      <c r="AG215" s="14"/>
      <c r="AH215" s="14"/>
      <c r="AI215" s="14"/>
      <c r="AJ215" s="14"/>
    </row>
    <row r="216" spans="1:36" ht="14" hidden="1" customHeight="1" thickBot="1" x14ac:dyDescent="0.2">
      <c r="A216" t="str">
        <f>Nutrients!B216</f>
        <v>NFP Smizyme 2500</v>
      </c>
      <c r="B216" s="14"/>
      <c r="C216" s="14"/>
      <c r="D216" s="14"/>
      <c r="E216" s="14"/>
      <c r="F216" s="14"/>
      <c r="G216" s="14"/>
      <c r="H216" s="428"/>
      <c r="I216" s="14"/>
      <c r="J216" s="14"/>
      <c r="K216" s="14"/>
      <c r="L216" s="14"/>
      <c r="M216" s="14"/>
      <c r="N216" s="14"/>
      <c r="O216" s="428"/>
      <c r="P216" s="14"/>
      <c r="Q216" s="14"/>
      <c r="R216" s="14"/>
      <c r="S216" s="14"/>
      <c r="T216" s="14"/>
      <c r="U216" s="14"/>
      <c r="V216" s="428"/>
      <c r="W216" s="14"/>
      <c r="X216" s="14"/>
      <c r="Y216" s="14"/>
      <c r="Z216" s="14"/>
      <c r="AA216" s="14"/>
      <c r="AB216" s="14"/>
      <c r="AC216" s="14"/>
      <c r="AD216" s="428"/>
      <c r="AE216" s="14"/>
      <c r="AF216" s="14"/>
      <c r="AG216" s="14"/>
      <c r="AH216" s="14"/>
      <c r="AI216" s="14"/>
      <c r="AJ216" s="14"/>
    </row>
    <row r="217" spans="1:36" ht="14" hidden="1" customHeight="1" thickBot="1" x14ac:dyDescent="0.2">
      <c r="A217" t="str">
        <f>Nutrients!B217</f>
        <v>NHF HP300 2019 loadings</v>
      </c>
      <c r="B217" s="14"/>
      <c r="C217" s="14"/>
      <c r="D217" s="14"/>
      <c r="E217" s="14"/>
      <c r="F217" s="14"/>
      <c r="G217" s="14"/>
      <c r="H217" s="428"/>
      <c r="I217" s="14"/>
      <c r="J217" s="14"/>
      <c r="K217" s="14"/>
      <c r="L217" s="14"/>
      <c r="M217" s="14"/>
      <c r="N217" s="14"/>
      <c r="O217" s="428"/>
      <c r="P217" s="14"/>
      <c r="Q217" s="14"/>
      <c r="R217" s="14"/>
      <c r="S217" s="14"/>
      <c r="T217" s="14"/>
      <c r="U217" s="14"/>
      <c r="V217" s="428"/>
      <c r="W217" s="14"/>
      <c r="X217" s="14"/>
      <c r="Y217" s="14"/>
      <c r="Z217" s="14"/>
      <c r="AA217" s="14"/>
      <c r="AB217" s="14"/>
      <c r="AC217" s="14"/>
      <c r="AD217" s="428"/>
      <c r="AE217" s="14"/>
      <c r="AF217" s="14"/>
      <c r="AG217" s="14"/>
      <c r="AH217" s="14"/>
      <c r="AI217" s="14"/>
      <c r="AJ217" s="14"/>
    </row>
    <row r="218" spans="1:36" x14ac:dyDescent="0.15">
      <c r="A218" s="3" t="s">
        <v>17</v>
      </c>
      <c r="B218" s="3">
        <f t="shared" ref="B218:G218" si="9">SUM(B6:B217)</f>
        <v>2000</v>
      </c>
      <c r="C218" s="3">
        <f t="shared" si="9"/>
        <v>2000</v>
      </c>
      <c r="D218" s="3">
        <f t="shared" si="9"/>
        <v>2000</v>
      </c>
      <c r="E218" s="3">
        <f t="shared" si="9"/>
        <v>2000</v>
      </c>
      <c r="F218" s="3">
        <f t="shared" si="9"/>
        <v>2000</v>
      </c>
      <c r="G218" s="3">
        <f t="shared" si="9"/>
        <v>1999.9999999999998</v>
      </c>
      <c r="H218" s="362"/>
      <c r="I218" s="3">
        <f t="shared" ref="I218:N218" si="10">SUM(I6:I217)</f>
        <v>2000</v>
      </c>
      <c r="J218" s="3">
        <f t="shared" si="10"/>
        <v>2000.0000000000002</v>
      </c>
      <c r="K218" s="3">
        <f t="shared" si="10"/>
        <v>2000.0000000000002</v>
      </c>
      <c r="L218" s="3">
        <f t="shared" si="10"/>
        <v>2000</v>
      </c>
      <c r="M218" s="3">
        <f t="shared" si="10"/>
        <v>2000.0000000000002</v>
      </c>
      <c r="N218" s="3">
        <f t="shared" si="10"/>
        <v>1999.9999999999998</v>
      </c>
      <c r="O218" s="362"/>
      <c r="P218" s="3">
        <f t="shared" ref="P218:AE218" si="11">SUM(P6:P217)</f>
        <v>1999.9999999999998</v>
      </c>
      <c r="Q218" s="3">
        <f>SUM(Q6:Q217)</f>
        <v>2000</v>
      </c>
      <c r="R218" s="3">
        <f>SUM(R6:R217)</f>
        <v>2000.0000000000002</v>
      </c>
      <c r="S218" s="3">
        <f>SUM(S6:S217)</f>
        <v>1999.9999999999998</v>
      </c>
      <c r="T218" s="3">
        <f>SUM(T6:T217)</f>
        <v>1999.9999999999998</v>
      </c>
      <c r="U218" s="3">
        <f>SUM(U6:U217)</f>
        <v>2000</v>
      </c>
      <c r="V218" s="362"/>
      <c r="W218" s="3">
        <f t="shared" si="11"/>
        <v>2000</v>
      </c>
      <c r="X218" s="3">
        <f t="shared" ref="X218:AC218" si="12">SUM(X6:X217)</f>
        <v>1999.9999999999998</v>
      </c>
      <c r="Y218" s="3">
        <f t="shared" si="12"/>
        <v>2000</v>
      </c>
      <c r="Z218" s="3">
        <f t="shared" si="12"/>
        <v>2000.0000000000002</v>
      </c>
      <c r="AA218" s="3">
        <f t="shared" si="12"/>
        <v>1999.9999999999998</v>
      </c>
      <c r="AB218" s="3">
        <f t="shared" si="12"/>
        <v>1999.9999999999998</v>
      </c>
      <c r="AC218" s="3">
        <f t="shared" si="12"/>
        <v>2000</v>
      </c>
      <c r="AD218" s="362"/>
      <c r="AE218" s="3">
        <f t="shared" si="11"/>
        <v>2000</v>
      </c>
      <c r="AF218" s="3">
        <f t="shared" ref="AF218" si="13">SUM(AF6:AF217)</f>
        <v>2000</v>
      </c>
      <c r="AG218" s="3">
        <f t="shared" ref="AG218" si="14">SUM(AG6:AG217)</f>
        <v>2000.0000000000002</v>
      </c>
      <c r="AH218" s="3">
        <f t="shared" ref="AH218" si="15">SUM(AH6:AH217)</f>
        <v>2000</v>
      </c>
      <c r="AI218" s="3">
        <f t="shared" ref="AI218" si="16">SUM(AI6:AI217)</f>
        <v>2000</v>
      </c>
      <c r="AJ218" s="3">
        <f t="shared" ref="AJ218" si="17">SUM(AJ6:AJ217)</f>
        <v>2000</v>
      </c>
    </row>
    <row r="219" spans="1:36" x14ac:dyDescent="0.15">
      <c r="A219" s="13"/>
    </row>
    <row r="220" spans="1:36" ht="13" hidden="1" customHeight="1" x14ac:dyDescent="0.15">
      <c r="A220" s="101" t="s">
        <v>333</v>
      </c>
      <c r="B220" s="85">
        <f t="shared" ref="B220:G220" si="18" xml:space="preserve">  0.0000415*((B4+B5)/2)^2 - 0.0236*((B4+B5)/2) + 6.096</f>
        <v>4.7373374999999998</v>
      </c>
      <c r="C220" s="85">
        <f t="shared" si="18"/>
        <v>4.7373374999999998</v>
      </c>
      <c r="D220" s="85">
        <f t="shared" si="18"/>
        <v>4.7373374999999998</v>
      </c>
      <c r="E220" s="85">
        <f t="shared" si="18"/>
        <v>4.7373374999999998</v>
      </c>
      <c r="F220" s="85">
        <f t="shared" si="18"/>
        <v>4.7373374999999998</v>
      </c>
      <c r="G220" s="85">
        <f t="shared" si="18"/>
        <v>4.7373374999999998</v>
      </c>
      <c r="H220" s="431"/>
      <c r="I220" s="85">
        <f t="shared" ref="I220:N220" si="19" xml:space="preserve">  0.0000415*((I4+I5)/2)^2 - 0.0236*((I4+I5)/2) + 6.096</f>
        <v>4.1509999999999998</v>
      </c>
      <c r="J220" s="85">
        <f t="shared" si="19"/>
        <v>4.1509999999999998</v>
      </c>
      <c r="K220" s="85">
        <f t="shared" si="19"/>
        <v>4.1509999999999998</v>
      </c>
      <c r="L220" s="85">
        <f t="shared" si="19"/>
        <v>4.1509999999999998</v>
      </c>
      <c r="M220" s="85">
        <f t="shared" si="19"/>
        <v>4.1509999999999998</v>
      </c>
      <c r="N220" s="85">
        <f t="shared" si="19"/>
        <v>4.1509999999999998</v>
      </c>
      <c r="O220" s="431"/>
      <c r="P220" s="85">
        <f t="shared" ref="P220:U220" si="20" xml:space="preserve">  0.0000415*((P4+P5)/2)^2 - 0.0236*((P4+P5)/2) + 6.096</f>
        <v>3.5465375000000003</v>
      </c>
      <c r="Q220" s="85">
        <f t="shared" si="20"/>
        <v>3.5465375000000003</v>
      </c>
      <c r="R220" s="85">
        <f t="shared" si="20"/>
        <v>3.5465375000000003</v>
      </c>
      <c r="S220" s="85">
        <f t="shared" si="20"/>
        <v>3.5465375000000003</v>
      </c>
      <c r="T220" s="85">
        <f t="shared" si="20"/>
        <v>3.5465375000000003</v>
      </c>
      <c r="U220" s="85">
        <f t="shared" si="20"/>
        <v>3.5465375000000003</v>
      </c>
      <c r="V220" s="431"/>
      <c r="W220" s="85">
        <f t="shared" ref="W220:AC220" si="21" xml:space="preserve">  0.0000415*((W4+W5)/2)^2 - 0.0236*((W4+W5)/2) + 6.096</f>
        <v>3.0720374999999995</v>
      </c>
      <c r="X220" s="85">
        <f t="shared" si="21"/>
        <v>3.0720374999999995</v>
      </c>
      <c r="Y220" s="85">
        <f t="shared" si="21"/>
        <v>3.0720374999999995</v>
      </c>
      <c r="Z220" s="85">
        <f t="shared" si="21"/>
        <v>3.0720374999999995</v>
      </c>
      <c r="AA220" s="85">
        <f t="shared" si="21"/>
        <v>3.0720374999999995</v>
      </c>
      <c r="AB220" s="85">
        <f t="shared" si="21"/>
        <v>3.0720374999999995</v>
      </c>
      <c r="AC220" s="85">
        <f t="shared" si="21"/>
        <v>3.0720374999999995</v>
      </c>
      <c r="AD220" s="431"/>
      <c r="AE220" s="85">
        <f t="shared" ref="AE220:AJ220" si="22" xml:space="preserve">  0.0000415*((AE4+AE5)/2)^2 - 0.0236*((AE4+AE5)/2) + 6.096</f>
        <v>2.7765375000000003</v>
      </c>
      <c r="AF220" s="85">
        <f t="shared" si="22"/>
        <v>2.7765375000000003</v>
      </c>
      <c r="AG220" s="85">
        <f t="shared" si="22"/>
        <v>2.7765375000000003</v>
      </c>
      <c r="AH220" s="85">
        <f t="shared" si="22"/>
        <v>2.7765375000000003</v>
      </c>
      <c r="AI220" s="85">
        <f t="shared" si="22"/>
        <v>2.7765375000000003</v>
      </c>
      <c r="AJ220" s="85">
        <f t="shared" si="22"/>
        <v>2.7765375000000003</v>
      </c>
    </row>
    <row r="221" spans="1:36" ht="13" hidden="1" customHeight="1" x14ac:dyDescent="0.15">
      <c r="A221" s="100" t="s">
        <v>101</v>
      </c>
      <c r="B221" s="61">
        <f t="shared" ref="B221:G221" si="23">IF(B220="","",B253*2.2046*B220/10000)</f>
        <v>1.2056487527191218</v>
      </c>
      <c r="C221" s="61">
        <f t="shared" si="23"/>
        <v>1.2054719472320432</v>
      </c>
      <c r="D221" s="61">
        <f t="shared" si="23"/>
        <v>1.2049149635407348</v>
      </c>
      <c r="E221" s="61">
        <f t="shared" si="23"/>
        <v>1.2046894925018705</v>
      </c>
      <c r="F221" s="61">
        <f t="shared" si="23"/>
        <v>1.2041431117161214</v>
      </c>
      <c r="G221" s="61">
        <f t="shared" si="23"/>
        <v>1.2028668761771184</v>
      </c>
      <c r="H221" s="432"/>
      <c r="I221" s="61">
        <f t="shared" ref="I221:N221" si="24">IF(I220="","",I253*2.2046*I220/10000)</f>
        <v>1.070653871304363</v>
      </c>
      <c r="J221" s="61">
        <f t="shared" si="24"/>
        <v>1.0615763978395809</v>
      </c>
      <c r="K221" s="61">
        <f t="shared" si="24"/>
        <v>1.0533062064655239</v>
      </c>
      <c r="L221" s="61">
        <f t="shared" si="24"/>
        <v>1.0444821086900655</v>
      </c>
      <c r="M221" s="61">
        <f t="shared" si="24"/>
        <v>1.0362119173160085</v>
      </c>
      <c r="N221" s="61">
        <f t="shared" si="24"/>
        <v>1.0270216950413473</v>
      </c>
      <c r="O221" s="432"/>
      <c r="P221" s="61">
        <f t="shared" ref="P221:AE221" si="25">IF(P220="","",P253*2.2046*P220/10000)</f>
        <v>0.92361899437770623</v>
      </c>
      <c r="Q221" s="61">
        <f>IF(Q220="","",Q253*2.2046*Q220/10000)</f>
        <v>0.91793973271748641</v>
      </c>
      <c r="R221" s="61">
        <f>IF(R220="","",R253*2.2046*R220/10000)</f>
        <v>0.91270178512291456</v>
      </c>
      <c r="S221" s="61">
        <f>IF(S220="","",S253*2.2046*S220/10000)</f>
        <v>0.90702252346269452</v>
      </c>
      <c r="T221" s="61">
        <f>IF(T220="","",T253*2.2046*T220/10000)</f>
        <v>0.90131471544355735</v>
      </c>
      <c r="U221" s="61">
        <f>IF(U220="","",U253*2.2046*U220/10000)</f>
        <v>0.89596197039133219</v>
      </c>
      <c r="V221" s="432"/>
      <c r="W221" s="61">
        <f t="shared" si="25"/>
        <v>0.80495817663418068</v>
      </c>
      <c r="X221" s="61">
        <f t="shared" ref="X221:AC221" si="26">IF(X220="","",X253*2.2046*X220/10000)</f>
        <v>0.8000457309250506</v>
      </c>
      <c r="Y221" s="61">
        <f t="shared" si="26"/>
        <v>0.79512631169079551</v>
      </c>
      <c r="Z221" s="61">
        <f t="shared" si="26"/>
        <v>0.79058916202480178</v>
      </c>
      <c r="AA221" s="61">
        <f t="shared" si="26"/>
        <v>0.78566974279054613</v>
      </c>
      <c r="AB221" s="61">
        <f t="shared" si="26"/>
        <v>0.7807255964851455</v>
      </c>
      <c r="AC221" s="61">
        <f t="shared" si="26"/>
        <v>0.77608900839651673</v>
      </c>
      <c r="AD221" s="432"/>
      <c r="AE221" s="61">
        <f t="shared" si="25"/>
        <v>0.71510699400211342</v>
      </c>
      <c r="AF221" s="61">
        <f t="shared" ref="AF221" si="27">IF(AF220="","",AF253*2.2046*AF220/10000)</f>
        <v>0.71510872745226339</v>
      </c>
      <c r="AG221" s="61">
        <f t="shared" ref="AG221" si="28">IF(AG220="","",AG253*2.2046*AG220/10000)</f>
        <v>0.71511046090241348</v>
      </c>
      <c r="AH221" s="61">
        <f t="shared" ref="AH221" si="29">IF(AH220="","",AH253*2.2046*AH220/10000)</f>
        <v>0.71511219435256346</v>
      </c>
      <c r="AI221" s="61">
        <f t="shared" ref="AI221" si="30">IF(AI220="","",AI253*2.2046*AI220/10000)</f>
        <v>0.71511392780271354</v>
      </c>
      <c r="AJ221" s="61">
        <f t="shared" ref="AJ221" si="31">IF(AJ220="","",AJ253*2.2046*AJ220/10000)</f>
        <v>0.71445252969513506</v>
      </c>
    </row>
    <row r="222" spans="1:36" ht="13" hidden="1" customHeight="1" x14ac:dyDescent="0.15">
      <c r="A222" s="101" t="s">
        <v>422</v>
      </c>
      <c r="B222" s="85">
        <f t="shared" ref="B222:G222" si="32">0.000056*(AVERAGE(B4:B5)^2)-0.02844*(AVERAGE(B4:B5)) +6.6391</f>
        <v>5.0270999999999999</v>
      </c>
      <c r="C222" s="85">
        <f t="shared" si="32"/>
        <v>5.0270999999999999</v>
      </c>
      <c r="D222" s="85">
        <f t="shared" si="32"/>
        <v>5.0270999999999999</v>
      </c>
      <c r="E222" s="85">
        <f t="shared" si="32"/>
        <v>5.0270999999999999</v>
      </c>
      <c r="F222" s="85">
        <f t="shared" si="32"/>
        <v>5.0270999999999999</v>
      </c>
      <c r="G222" s="85">
        <f t="shared" si="32"/>
        <v>5.0270999999999999</v>
      </c>
      <c r="H222" s="431"/>
      <c r="I222" s="85">
        <f t="shared" ref="I222:N222" si="33">0.000056*(AVERAGE(I4:I5)^2)-0.02844*(AVERAGE(I4:I5)) +6.6391</f>
        <v>4.3551000000000002</v>
      </c>
      <c r="J222" s="85">
        <f t="shared" si="33"/>
        <v>4.3551000000000002</v>
      </c>
      <c r="K222" s="85">
        <f t="shared" si="33"/>
        <v>4.3551000000000002</v>
      </c>
      <c r="L222" s="85">
        <f t="shared" si="33"/>
        <v>4.3551000000000002</v>
      </c>
      <c r="M222" s="85">
        <f t="shared" si="33"/>
        <v>4.3551000000000002</v>
      </c>
      <c r="N222" s="85">
        <f t="shared" si="33"/>
        <v>4.3551000000000002</v>
      </c>
      <c r="O222" s="431"/>
      <c r="P222" s="85">
        <f t="shared" ref="P222:U222" si="34">0.000056*(AVERAGE(P4:P5)^2)-0.02844*(AVERAGE(P4:P5)) +6.6391</f>
        <v>3.6926999999999999</v>
      </c>
      <c r="Q222" s="85">
        <f t="shared" si="34"/>
        <v>3.6926999999999999</v>
      </c>
      <c r="R222" s="85">
        <f t="shared" si="34"/>
        <v>3.6926999999999999</v>
      </c>
      <c r="S222" s="85">
        <f t="shared" si="34"/>
        <v>3.6926999999999999</v>
      </c>
      <c r="T222" s="85">
        <f t="shared" si="34"/>
        <v>3.6926999999999999</v>
      </c>
      <c r="U222" s="85">
        <f t="shared" si="34"/>
        <v>3.6926999999999999</v>
      </c>
      <c r="V222" s="431"/>
      <c r="W222" s="85">
        <f t="shared" ref="W222:AC222" si="35">0.000056*(AVERAGE(W4:W5)^2)-0.02844*(AVERAGE(W4:W5)) +6.6391</f>
        <v>3.2227000000000001</v>
      </c>
      <c r="X222" s="85">
        <f t="shared" si="35"/>
        <v>3.2227000000000001</v>
      </c>
      <c r="Y222" s="85">
        <f t="shared" si="35"/>
        <v>3.2227000000000001</v>
      </c>
      <c r="Z222" s="85">
        <f t="shared" si="35"/>
        <v>3.2227000000000001</v>
      </c>
      <c r="AA222" s="85">
        <f t="shared" si="35"/>
        <v>3.2227000000000001</v>
      </c>
      <c r="AB222" s="85">
        <f t="shared" si="35"/>
        <v>3.2227000000000001</v>
      </c>
      <c r="AC222" s="85">
        <f t="shared" si="35"/>
        <v>3.2227000000000001</v>
      </c>
      <c r="AD222" s="431"/>
      <c r="AE222" s="85">
        <f t="shared" ref="AE222:AJ222" si="36">0.000056*(AVERAGE(AE4:AE5)^2)-0.02844*(AVERAGE(AE4:AE5)) +6.6391</f>
        <v>3.0282999999999998</v>
      </c>
      <c r="AF222" s="85">
        <f t="shared" si="36"/>
        <v>3.0282999999999998</v>
      </c>
      <c r="AG222" s="85">
        <f t="shared" si="36"/>
        <v>3.0282999999999998</v>
      </c>
      <c r="AH222" s="85">
        <f t="shared" si="36"/>
        <v>3.0282999999999998</v>
      </c>
      <c r="AI222" s="85">
        <f t="shared" si="36"/>
        <v>3.0282999999999998</v>
      </c>
      <c r="AJ222" s="85">
        <f t="shared" si="36"/>
        <v>3.0282999999999998</v>
      </c>
    </row>
    <row r="223" spans="1:36" ht="13" hidden="1" customHeight="1" x14ac:dyDescent="0.15">
      <c r="A223" s="100" t="s">
        <v>384</v>
      </c>
      <c r="B223" s="61">
        <f t="shared" ref="B223:G223" si="37">IF(B222="","",B253*2.2046*B222/10000)</f>
        <v>1.2793930862629688</v>
      </c>
      <c r="C223" s="61">
        <f t="shared" si="37"/>
        <v>1.2792054663469099</v>
      </c>
      <c r="D223" s="61">
        <f t="shared" si="37"/>
        <v>1.2786144143657967</v>
      </c>
      <c r="E223" s="61">
        <f t="shared" si="37"/>
        <v>1.278375152236072</v>
      </c>
      <c r="F223" s="61">
        <f t="shared" si="37"/>
        <v>1.2777953516945151</v>
      </c>
      <c r="G223" s="61">
        <f t="shared" si="37"/>
        <v>1.2764410543327325</v>
      </c>
      <c r="H223" s="432"/>
      <c r="I223" s="61">
        <f t="shared" ref="I223:N223" si="38">IF(I222="","",I253*2.2046*I222/10000)</f>
        <v>1.1232967176385527</v>
      </c>
      <c r="J223" s="61">
        <f t="shared" si="38"/>
        <v>1.1137729150159383</v>
      </c>
      <c r="K223" s="61">
        <f t="shared" si="38"/>
        <v>1.105096087636233</v>
      </c>
      <c r="L223" s="61">
        <f t="shared" si="38"/>
        <v>1.0958381189005311</v>
      </c>
      <c r="M223" s="61">
        <f t="shared" si="38"/>
        <v>1.087161291520826</v>
      </c>
      <c r="N223" s="61">
        <f t="shared" si="38"/>
        <v>1.0775191963561965</v>
      </c>
      <c r="O223" s="432"/>
      <c r="P223" s="61">
        <f t="shared" ref="P223:AE223" si="39">IF(P222="","",P253*2.2046*P222/10000)</f>
        <v>0.96168385658929456</v>
      </c>
      <c r="Q223" s="61">
        <f>IF(Q222="","",Q253*2.2046*Q222/10000)</f>
        <v>0.9557705370395384</v>
      </c>
      <c r="R223" s="61">
        <f>IF(R222="","",R253*2.2046*R222/10000)</f>
        <v>0.9503167193138059</v>
      </c>
      <c r="S223" s="61">
        <f>IF(S222="","",S253*2.2046*S222/10000)</f>
        <v>0.94440339976404908</v>
      </c>
      <c r="T223" s="61">
        <f>IF(T222="","",T253*2.2046*T222/10000)</f>
        <v>0.93846035738193201</v>
      </c>
      <c r="U223" s="61">
        <f>IF(U222="","",U253*2.2046*U222/10000)</f>
        <v>0.93288701108167393</v>
      </c>
      <c r="V223" s="432"/>
      <c r="W223" s="61">
        <f t="shared" si="39"/>
        <v>0.84443588850688667</v>
      </c>
      <c r="X223" s="61">
        <f t="shared" ref="X223:AC223" si="40">IF(X222="","",X253*2.2046*X222/10000)</f>
        <v>0.83928252081954124</v>
      </c>
      <c r="Y223" s="61">
        <f t="shared" si="40"/>
        <v>0.83412183760319569</v>
      </c>
      <c r="Z223" s="61">
        <f t="shared" si="40"/>
        <v>0.82936217167183968</v>
      </c>
      <c r="AA223" s="61">
        <f t="shared" si="40"/>
        <v>0.82420148845549357</v>
      </c>
      <c r="AB223" s="61">
        <f t="shared" si="40"/>
        <v>0.81901486547370561</v>
      </c>
      <c r="AC223" s="61">
        <f t="shared" si="40"/>
        <v>0.81415088434286853</v>
      </c>
      <c r="AD223" s="432"/>
      <c r="AE223" s="61">
        <f t="shared" si="39"/>
        <v>0.77994931094451259</v>
      </c>
      <c r="AF223" s="61">
        <f t="shared" ref="AF223" si="41">IF(AF222="","",AF253*2.2046*AF222/10000)</f>
        <v>0.77995120157523146</v>
      </c>
      <c r="AG223" s="61">
        <f t="shared" ref="AG223" si="42">IF(AG222="","",AG253*2.2046*AG222/10000)</f>
        <v>0.7799530922059501</v>
      </c>
      <c r="AH223" s="61">
        <f t="shared" ref="AH223" si="43">IF(AH222="","",AH253*2.2046*AH222/10000)</f>
        <v>0.77995498283666886</v>
      </c>
      <c r="AI223" s="61">
        <f t="shared" ref="AI223" si="44">IF(AI222="","",AI253*2.2046*AI222/10000)</f>
        <v>0.77995687346738773</v>
      </c>
      <c r="AJ223" s="61">
        <f t="shared" ref="AJ223" si="45">IF(AJ222="","",AJ253*2.2046*AJ222/10000)</f>
        <v>0.7792355030954119</v>
      </c>
    </row>
    <row r="224" spans="1:36" x14ac:dyDescent="0.15">
      <c r="A224" s="104" t="s">
        <v>130</v>
      </c>
      <c r="B224" s="61"/>
      <c r="C224" s="61"/>
      <c r="D224" s="61"/>
      <c r="E224" s="61"/>
      <c r="F224" s="61"/>
      <c r="G224" s="61"/>
      <c r="H224" s="432"/>
      <c r="I224" s="61"/>
      <c r="J224" s="61"/>
      <c r="K224" s="61"/>
      <c r="L224" s="61"/>
      <c r="M224" s="61"/>
      <c r="N224" s="61"/>
      <c r="O224" s="432"/>
      <c r="P224" s="61"/>
      <c r="Q224" s="61"/>
      <c r="R224" s="61"/>
      <c r="S224" s="61"/>
      <c r="T224" s="61"/>
      <c r="U224" s="61"/>
      <c r="V224" s="432"/>
      <c r="W224" s="61"/>
      <c r="X224" s="61"/>
      <c r="Y224" s="61"/>
      <c r="Z224" s="61"/>
      <c r="AA224" s="61"/>
      <c r="AB224" s="61"/>
      <c r="AC224" s="61"/>
      <c r="AD224" s="432"/>
      <c r="AE224" s="61"/>
      <c r="AF224" s="61"/>
      <c r="AG224" s="61"/>
      <c r="AH224" s="61"/>
      <c r="AI224" s="61"/>
      <c r="AJ224" s="61"/>
    </row>
    <row r="225" spans="1:38" x14ac:dyDescent="0.15">
      <c r="A225" s="261" t="s">
        <v>372</v>
      </c>
      <c r="B225" s="62">
        <v>1</v>
      </c>
      <c r="C225" s="62">
        <v>1.1000000000000001</v>
      </c>
      <c r="D225" s="62">
        <v>1.2</v>
      </c>
      <c r="E225" s="62">
        <v>1.3</v>
      </c>
      <c r="F225" s="62">
        <v>1.4</v>
      </c>
      <c r="G225" s="420">
        <v>1.5</v>
      </c>
      <c r="H225" s="433"/>
      <c r="I225" s="422">
        <v>0.8</v>
      </c>
      <c r="J225" s="62">
        <v>0.88</v>
      </c>
      <c r="K225" s="62">
        <v>0.96</v>
      </c>
      <c r="L225" s="62">
        <v>1.04</v>
      </c>
      <c r="M225" s="62">
        <v>1.1200000000000001</v>
      </c>
      <c r="N225" s="420">
        <v>1.2</v>
      </c>
      <c r="O225" s="433"/>
      <c r="P225" s="422">
        <v>0.65</v>
      </c>
      <c r="Q225" s="62">
        <v>0.72</v>
      </c>
      <c r="R225" s="62">
        <v>0.79</v>
      </c>
      <c r="S225" s="62">
        <v>0.86</v>
      </c>
      <c r="T225" s="62">
        <v>0.93</v>
      </c>
      <c r="U225" s="420">
        <v>1</v>
      </c>
      <c r="V225" s="433"/>
      <c r="W225" s="422">
        <v>0.57999999999999996</v>
      </c>
      <c r="X225" s="62">
        <v>0.65</v>
      </c>
      <c r="Y225" s="62">
        <v>0.72</v>
      </c>
      <c r="Z225" s="62">
        <v>0.79</v>
      </c>
      <c r="AA225" s="62">
        <v>0.86</v>
      </c>
      <c r="AB225" s="420">
        <v>0.93</v>
      </c>
      <c r="AC225" s="62">
        <v>1</v>
      </c>
      <c r="AD225" s="433"/>
      <c r="AE225" s="422">
        <v>0.43</v>
      </c>
      <c r="AF225" s="62">
        <v>0.5</v>
      </c>
      <c r="AG225" s="62">
        <v>0.56999999999999995</v>
      </c>
      <c r="AH225" s="62">
        <v>0.64</v>
      </c>
      <c r="AI225" s="62">
        <v>0.71</v>
      </c>
      <c r="AJ225" s="62">
        <v>0.79</v>
      </c>
      <c r="AK225" s="14"/>
      <c r="AL225" s="14"/>
    </row>
    <row r="226" spans="1:38" x14ac:dyDescent="0.15">
      <c r="A226" s="99" t="s">
        <v>373</v>
      </c>
      <c r="B226" s="110">
        <f>(SUMPRODUCT(B$8:B$217,Nutrients!$CY$8:$CY$217)+(IF($A$6=Nutrients!$B$8,Nutrients!$CY$8,Nutrients!$CY$9)*B$6)+(((IF($A$7=Nutrients!$B$79,Nutrients!$CY$79,(IF($A$7=Nutrients!$B$77,Nutrients!$CY$77,Nutrients!$CY$78)))))*B$7))/2000/B$225*100</f>
        <v>64.705407554421484</v>
      </c>
      <c r="C226" s="110">
        <f>(SUMPRODUCT(C$8:C$217,Nutrients!$CY$8:$CY$217)+(IF($A$6=Nutrients!$B$8,Nutrients!$CY$8,Nutrients!$CY$9)*C$6)+(((IF($A$7=Nutrients!$B$79,Nutrients!$CY$79,(IF($A$7=Nutrients!$B$77,Nutrients!$CY$77,Nutrients!$CY$78)))))*C$7))/2000/C$225*100</f>
        <v>62.558575681688289</v>
      </c>
      <c r="D226" s="110">
        <f>(SUMPRODUCT(D$8:D$217,Nutrients!$CY$8:$CY$217)+(IF($A$6=Nutrients!$B$8,Nutrients!$CY$8,Nutrients!$CY$9)*D$6)+(((IF($A$7=Nutrients!$B$79,Nutrients!$CY$79,(IF($A$7=Nutrients!$B$77,Nutrients!$CY$77,Nutrients!$CY$78)))))*D$7))/2000/D$225*100</f>
        <v>60.766542346152796</v>
      </c>
      <c r="E226" s="110">
        <f>(SUMPRODUCT(E$8:E$217,Nutrients!$CY$8:$CY$217)+(IF($A$6=Nutrients!$B$8,Nutrients!$CY$8,Nutrients!$CY$9)*E$6)+(((IF($A$7=Nutrients!$B$79,Nutrients!$CY$79,(IF($A$7=Nutrients!$B$77,Nutrients!$CY$77,Nutrients!$CY$78)))))*E$7))/2000/E$225*100</f>
        <v>59.251792438022498</v>
      </c>
      <c r="F226" s="110">
        <f>(SUMPRODUCT(F$8:F$217,Nutrients!$CY$8:$CY$217)+(IF($A$6=Nutrients!$B$8,Nutrients!$CY$8,Nutrients!$CY$9)*F$6)+(((IF($A$7=Nutrients!$B$79,Nutrients!$CY$79,(IF($A$7=Nutrients!$B$77,Nutrients!$CY$77,Nutrients!$CY$78)))))*F$7))/2000/F$225*100</f>
        <v>57.951226314782623</v>
      </c>
      <c r="G226" s="110">
        <f>(SUMPRODUCT(G$8:G$217,Nutrients!$CY$8:$CY$217)+(IF($A$6=Nutrients!$B$8,Nutrients!$CY$8,Nutrients!$CY$9)*G$6)+(((IF($A$7=Nutrients!$B$79,Nutrients!$CY$79,(IF($A$7=Nutrients!$B$77,Nutrients!$CY$77,Nutrients!$CY$78)))))*G$7))/2000/G$225*100</f>
        <v>56.829910742113711</v>
      </c>
      <c r="H226" s="434"/>
      <c r="I226" s="110">
        <f>(SUMPRODUCT(I$8:I$217,Nutrients!$CY$8:$CY$217)+(IF($A$6=Nutrients!$B$8,Nutrients!$CY$8,Nutrients!$CY$9)*I$6)+(((IF($A$7=Nutrients!$B$79,Nutrients!$CY$79,(IF($A$7=Nutrients!$B$77,Nutrients!$CY$77,Nutrients!$CY$78)))))*I$7))/2000/I$225*100</f>
        <v>62.132704438535981</v>
      </c>
      <c r="J226" s="110">
        <f>(SUMPRODUCT(J$8:J$217,Nutrients!$CY$8:$CY$217)+(IF($A$6=Nutrients!$B$8,Nutrients!$CY$8,Nutrients!$CY$9)*J$6)+(((IF($A$7=Nutrients!$B$79,Nutrients!$CY$79,(IF($A$7=Nutrients!$B$77,Nutrients!$CY$77,Nutrients!$CY$78)))))*J$7))/2000/J$225*100</f>
        <v>62.106939051326137</v>
      </c>
      <c r="K226" s="110">
        <f>(SUMPRODUCT(K$8:K$217,Nutrients!$CY$8:$CY$217)+(IF($A$6=Nutrients!$B$8,Nutrients!$CY$8,Nutrients!$CY$9)*K$6)+(((IF($A$7=Nutrients!$B$79,Nutrients!$CY$79,(IF($A$7=Nutrients!$B$77,Nutrients!$CY$77,Nutrients!$CY$78)))))*K$7))/2000/K$225*100</f>
        <v>62.079024806194028</v>
      </c>
      <c r="L226" s="110">
        <f>(SUMPRODUCT(L$8:L$217,Nutrients!$CY$8:$CY$217)+(IF($A$6=Nutrients!$B$8,Nutrients!$CY$8,Nutrients!$CY$9)*L$6)+(((IF($A$7=Nutrients!$B$79,Nutrients!$CY$79,(IF($A$7=Nutrients!$B$77,Nutrients!$CY$77,Nutrients!$CY$78)))))*L$7))/2000/L$225*100</f>
        <v>61.801786394752888</v>
      </c>
      <c r="M226" s="110">
        <f>(SUMPRODUCT(M$8:M$217,Nutrients!$CY$8:$CY$217)+(IF($A$6=Nutrients!$B$8,Nutrients!$CY$8,Nutrients!$CY$9)*M$6)+(((IF($A$7=Nutrients!$B$79,Nutrients!$CY$79,(IF($A$7=Nutrients!$B$77,Nutrients!$CY$77,Nutrients!$CY$78)))))*M$7))/2000/M$225*100</f>
        <v>61.799656517252053</v>
      </c>
      <c r="N226" s="110">
        <f>(SUMPRODUCT(N$8:N$217,Nutrients!$CY$8:$CY$217)+(IF($A$6=Nutrients!$B$8,Nutrients!$CY$8,Nutrients!$CY$9)*N$6)+(((IF($A$7=Nutrients!$B$79,Nutrients!$CY$79,(IF($A$7=Nutrients!$B$77,Nutrients!$CY$77,Nutrients!$CY$78)))))*N$7))/2000/N$225*100</f>
        <v>61.802106016167244</v>
      </c>
      <c r="O226" s="434"/>
      <c r="P226" s="110">
        <f>(SUMPRODUCT(P$8:P$217,Nutrients!$CY$8:$CY$217)+(IF($A$6=Nutrients!$B$8,Nutrients!$CY$8,Nutrients!$CY$9)*P$6)+(((IF($A$7=Nutrients!$B$79,Nutrients!$CY$79,(IF($A$7=Nutrients!$B$77,Nutrients!$CY$77,Nutrients!$CY$78)))))*P$7))/2000/P$225*100</f>
        <v>67.901578423450644</v>
      </c>
      <c r="Q226" s="110">
        <f>(SUMPRODUCT(Q$8:Q$217,Nutrients!$CY$8:$CY$217)+(IF($A$6=Nutrients!$B$8,Nutrients!$CY$8,Nutrients!$CY$9)*Q$6)+(((IF($A$7=Nutrients!$B$79,Nutrients!$CY$79,(IF($A$7=Nutrients!$B$77,Nutrients!$CY$77,Nutrients!$CY$78)))))*Q$7))/2000/Q$225*100</f>
        <v>66.461517232859762</v>
      </c>
      <c r="R226" s="110">
        <f>(SUMPRODUCT(R$8:R$217,Nutrients!$CY$8:$CY$217)+(IF($A$6=Nutrients!$B$8,Nutrients!$CY$8,Nutrients!$CY$9)*R$6)+(((IF($A$7=Nutrients!$B$79,Nutrients!$CY$79,(IF($A$7=Nutrients!$B$77,Nutrients!$CY$77,Nutrients!$CY$78)))))*R$7))/2000/R$225*100</f>
        <v>65.611186961250127</v>
      </c>
      <c r="S226" s="110">
        <f>(SUMPRODUCT(S$8:S$217,Nutrients!$CY$8:$CY$217)+(IF($A$6=Nutrients!$B$8,Nutrients!$CY$8,Nutrients!$CY$9)*S$6)+(((IF($A$7=Nutrients!$B$79,Nutrients!$CY$79,(IF($A$7=Nutrients!$B$77,Nutrients!$CY$77,Nutrients!$CY$78)))))*S$7))/2000/S$225*100</f>
        <v>64.591981548608985</v>
      </c>
      <c r="T226" s="110">
        <f>(SUMPRODUCT(T$8:T$217,Nutrients!$CY$8:$CY$217)+(IF($A$6=Nutrients!$B$8,Nutrients!$CY$8,Nutrients!$CY$9)*T$6)+(((IF($A$7=Nutrients!$B$79,Nutrients!$CY$79,(IF($A$7=Nutrients!$B$77,Nutrients!$CY$77,Nutrients!$CY$78)))))*T$7))/2000/T$225*100</f>
        <v>63.726759151988944</v>
      </c>
      <c r="U226" s="110">
        <f>(SUMPRODUCT(U$8:U$217,Nutrients!$CY$8:$CY$217)+(IF($A$6=Nutrients!$B$8,Nutrients!$CY$8,Nutrients!$CY$9)*U$6)+(((IF($A$7=Nutrients!$B$79,Nutrients!$CY$79,(IF($A$7=Nutrients!$B$77,Nutrients!$CY$77,Nutrients!$CY$78)))))*U$7))/2000/U$225*100</f>
        <v>63.519060405895324</v>
      </c>
      <c r="V226" s="434"/>
      <c r="W226" s="110">
        <f>(SUMPRODUCT(W$8:W$217,Nutrients!$CY$8:$CY$217)+(IF($A$6=Nutrients!$B$8,Nutrients!$CY$8,Nutrients!$CY$9)*W$6)+(((IF($A$7=Nutrients!$B$79,Nutrients!$CY$79,(IF($A$7=Nutrients!$B$77,Nutrients!$CY$77,Nutrients!$CY$78)))))*W$7))/2000/W$225*100</f>
        <v>69.689240591080733</v>
      </c>
      <c r="X226" s="110">
        <f>(SUMPRODUCT(X$8:X$217,Nutrients!$CY$8:$CY$217)+(IF($A$6=Nutrients!$B$8,Nutrients!$CY$8,Nutrients!$CY$9)*X$6)+(((IF($A$7=Nutrients!$B$79,Nutrients!$CY$79,(IF($A$7=Nutrients!$B$77,Nutrients!$CY$77,Nutrients!$CY$78)))))*X$7))/2000/X$225*100</f>
        <v>67.901578423450644</v>
      </c>
      <c r="Y226" s="110">
        <f>(SUMPRODUCT(Y$8:Y$217,Nutrients!$CY$8:$CY$217)+(IF($A$6=Nutrients!$B$8,Nutrients!$CY$8,Nutrients!$CY$9)*Y$6)+(((IF($A$7=Nutrients!$B$79,Nutrients!$CY$79,(IF($A$7=Nutrients!$B$77,Nutrients!$CY$77,Nutrients!$CY$78)))))*Y$7))/2000/Y$225*100</f>
        <v>66.461517232859762</v>
      </c>
      <c r="Z226" s="110">
        <f>(SUMPRODUCT(Z$8:Z$217,Nutrients!$CY$8:$CY$217)+(IF($A$6=Nutrients!$B$8,Nutrients!$CY$8,Nutrients!$CY$9)*Z$6)+(((IF($A$7=Nutrients!$B$79,Nutrients!$CY$79,(IF($A$7=Nutrients!$B$77,Nutrients!$CY$77,Nutrients!$CY$78)))))*Z$7))/2000/Z$225*100</f>
        <v>65.611186961250127</v>
      </c>
      <c r="AA226" s="110">
        <f>(SUMPRODUCT(AA$8:AA$217,Nutrients!$CY$8:$CY$217)+(IF($A$6=Nutrients!$B$8,Nutrients!$CY$8,Nutrients!$CY$9)*AA$6)+(((IF($A$7=Nutrients!$B$79,Nutrients!$CY$79,(IF($A$7=Nutrients!$B$77,Nutrients!$CY$77,Nutrients!$CY$78)))))*AA$7))/2000/AA$225*100</f>
        <v>64.591981548608985</v>
      </c>
      <c r="AB226" s="110">
        <f>(SUMPRODUCT(AB$8:AB$217,Nutrients!$CY$8:$CY$217)+(IF($A$6=Nutrients!$B$8,Nutrients!$CY$8,Nutrients!$CY$9)*AB$6)+(((IF($A$7=Nutrients!$B$79,Nutrients!$CY$79,(IF($A$7=Nutrients!$B$77,Nutrients!$CY$77,Nutrients!$CY$78)))))*AB$7))/2000/AB$225*100</f>
        <v>63.726759151988944</v>
      </c>
      <c r="AC226" s="110">
        <f>(SUMPRODUCT(AC$8:AC$217,Nutrients!$CY$8:$CY$217)+(IF($A$6=Nutrients!$B$8,Nutrients!$CY$8,Nutrients!$CY$9)*AC$6)+(((IF($A$7=Nutrients!$B$79,Nutrients!$CY$79,(IF($A$7=Nutrients!$B$77,Nutrients!$CY$77,Nutrients!$CY$78)))))*AC$7))/2000/AC$225*100</f>
        <v>63.519060405895324</v>
      </c>
      <c r="AD226" s="434"/>
      <c r="AE226" s="110">
        <f>(SUMPRODUCT(AE$8:AE$217,Nutrients!$CY$8:$CY$217)+(IF($A$6=Nutrients!$B$8,Nutrients!$CY$8,Nutrients!$CY$9)*AE$6)+(((IF($A$7=Nutrients!$B$79,Nutrients!$CY$79,(IF($A$7=Nutrients!$B$77,Nutrients!$CY$77,Nutrients!$CY$78)))))*AE$7))/2000/AE$225*100</f>
        <v>91.771009190670313</v>
      </c>
      <c r="AF226" s="110">
        <f>(SUMPRODUCT(AF$8:AF$217,Nutrients!$CY$8:$CY$217)+(IF($A$6=Nutrients!$B$8,Nutrients!$CY$8,Nutrients!$CY$9)*AF$6)+(((IF($A$7=Nutrients!$B$79,Nutrients!$CY$79,(IF($A$7=Nutrients!$B$77,Nutrients!$CY$77,Nutrients!$CY$78)))))*AF$7))/2000/AF$225*100</f>
        <v>81.991473335216781</v>
      </c>
      <c r="AG226" s="110">
        <f>(SUMPRODUCT(AG$8:AG$217,Nutrients!$CY$8:$CY$217)+(IF($A$6=Nutrients!$B$8,Nutrients!$CY$8,Nutrients!$CY$9)*AG$6)+(((IF($A$7=Nutrients!$B$79,Nutrients!$CY$79,(IF($A$7=Nutrients!$B$77,Nutrients!$CY$77,Nutrients!$CY$78)))))*AG$7))/2000/AG$225*100</f>
        <v>74.613928742506246</v>
      </c>
      <c r="AH226" s="110">
        <f>(SUMPRODUCT(AH$8:AH$217,Nutrients!$CY$8:$CY$217)+(IF($A$6=Nutrients!$B$8,Nutrients!$CY$8,Nutrients!$CY$9)*AH$6)+(((IF($A$7=Nutrients!$B$79,Nutrients!$CY$79,(IF($A$7=Nutrients!$B$77,Nutrients!$CY$77,Nutrients!$CY$78)))))*AH$7))/2000/AH$225*100</f>
        <v>68.850222029451047</v>
      </c>
      <c r="AI226" s="110">
        <f>(SUMPRODUCT(AI$8:AI$217,Nutrients!$CY$8:$CY$217)+(IF($A$6=Nutrients!$B$8,Nutrients!$CY$8,Nutrients!$CY$9)*AI$6)+(((IF($A$7=Nutrients!$B$79,Nutrients!$CY$79,(IF($A$7=Nutrients!$B$77,Nutrients!$CY$77,Nutrients!$CY$78)))))*AI$7))/2000/AI$225*100</f>
        <v>64.223020865449101</v>
      </c>
      <c r="AJ226" s="110">
        <f>(SUMPRODUCT(AJ$8:AJ$217,Nutrients!$CY$8:$CY$217)+(IF($A$6=Nutrients!$B$8,Nutrients!$CY$8,Nutrients!$CY$9)*AJ$6)+(((IF($A$7=Nutrients!$B$79,Nutrients!$CY$79,(IF($A$7=Nutrients!$B$77,Nutrients!$CY$77,Nutrients!$CY$78)))))*AJ$7))/2000/AJ$225*100</f>
        <v>60.52707401357916</v>
      </c>
      <c r="AK226" s="110"/>
      <c r="AL226" s="110"/>
    </row>
    <row r="227" spans="1:38" x14ac:dyDescent="0.15">
      <c r="A227" s="99" t="s">
        <v>374</v>
      </c>
      <c r="B227" s="110">
        <f>(SUMPRODUCT(B$8:B$217,Nutrients!$CZ$8:$CZ$217)+(IF($A$6=Nutrients!$B$8,Nutrients!$CZ$8,Nutrients!$CZ$9)*B$6)+(((IF($A$7=Nutrients!$B$79,Nutrients!$CZ$79,(IF($A$7=Nutrients!$B$77,Nutrients!$CZ$77,Nutrients!$CZ$78)))))*B$7))/2000/B$225*100</f>
        <v>139.53048870155956</v>
      </c>
      <c r="C227" s="110">
        <f>(SUMPRODUCT(C$8:C$217,Nutrients!$CZ$8:$CZ$217)+(IF($A$6=Nutrients!$B$8,Nutrients!$CZ$8,Nutrients!$CZ$9)*C$6)+(((IF($A$7=Nutrients!$B$79,Nutrients!$CZ$79,(IF($A$7=Nutrients!$B$77,Nutrients!$CZ$77,Nutrients!$CZ$78)))))*C$7))/2000/C$225*100</f>
        <v>131.92904086581501</v>
      </c>
      <c r="D227" s="110">
        <f>(SUMPRODUCT(D$8:D$217,Nutrients!$CZ$8:$CZ$217)+(IF($A$6=Nutrients!$B$8,Nutrients!$CZ$8,Nutrients!$CZ$9)*D$6)+(((IF($A$7=Nutrients!$B$79,Nutrients!$CZ$79,(IF($A$7=Nutrients!$B$77,Nutrients!$CZ$77,Nutrients!$CZ$78)))))*D$7))/2000/D$225*100</f>
        <v>125.575318746904</v>
      </c>
      <c r="E227" s="110">
        <f>(SUMPRODUCT(E$8:E$217,Nutrients!$CZ$8:$CZ$217)+(IF($A$6=Nutrients!$B$8,Nutrients!$CZ$8,Nutrients!$CZ$9)*E$6)+(((IF($A$7=Nutrients!$B$79,Nutrients!$CZ$79,(IF($A$7=Nutrients!$B$77,Nutrients!$CZ$77,Nutrients!$CZ$78)))))*E$7))/2000/E$225*100</f>
        <v>120.20921045153914</v>
      </c>
      <c r="F227" s="110">
        <f>(SUMPRODUCT(F$8:F$217,Nutrients!$CZ$8:$CZ$217)+(IF($A$6=Nutrients!$B$8,Nutrients!$CZ$8,Nutrients!$CZ$9)*F$6)+(((IF($A$7=Nutrients!$B$79,Nutrients!$CZ$79,(IF($A$7=Nutrients!$B$77,Nutrients!$CZ$77,Nutrients!$CZ$78)))))*F$7))/2000/F$225*100</f>
        <v>115.59559596962521</v>
      </c>
      <c r="G227" s="110">
        <f>(SUMPRODUCT(G$8:G$217,Nutrients!$CZ$8:$CZ$217)+(IF($A$6=Nutrients!$B$8,Nutrients!$CZ$8,Nutrients!$CZ$9)*G$6)+(((IF($A$7=Nutrients!$B$79,Nutrients!$CZ$79,(IF($A$7=Nutrients!$B$77,Nutrients!$CZ$77,Nutrients!$CZ$78)))))*G$7))/2000/G$225*100</f>
        <v>111.63439846797854</v>
      </c>
      <c r="H227" s="434"/>
      <c r="I227" s="110">
        <f>(SUMPRODUCT(I$8:I$217,Nutrients!$CZ$8:$CZ$217)+(IF($A$6=Nutrients!$B$8,Nutrients!$CZ$8,Nutrients!$CZ$9)*I$6)+(((IF($A$7=Nutrients!$B$79,Nutrients!$CZ$79,(IF($A$7=Nutrients!$B$77,Nutrients!$CZ$77,Nutrients!$CZ$78)))))*I$7))/2000/I$225*100</f>
        <v>148.25789509512535</v>
      </c>
      <c r="J227" s="110">
        <f>(SUMPRODUCT(J$8:J$217,Nutrients!$CZ$8:$CZ$217)+(IF($A$6=Nutrients!$B$8,Nutrients!$CZ$8,Nutrients!$CZ$9)*J$6)+(((IF($A$7=Nutrients!$B$79,Nutrients!$CZ$79,(IF($A$7=Nutrients!$B$77,Nutrients!$CZ$77,Nutrients!$CZ$78)))))*J$7))/2000/J$225*100</f>
        <v>142.76070304697998</v>
      </c>
      <c r="K227" s="110">
        <f>(SUMPRODUCT(K$8:K$217,Nutrients!$CZ$8:$CZ$217)+(IF($A$6=Nutrients!$B$8,Nutrients!$CZ$8,Nutrients!$CZ$9)*K$6)+(((IF($A$7=Nutrients!$B$79,Nutrients!$CZ$79,(IF($A$7=Nutrients!$B$77,Nutrients!$CZ$77,Nutrients!$CZ$78)))))*K$7))/2000/K$225*100</f>
        <v>138.13860483968861</v>
      </c>
      <c r="L227" s="110">
        <f>(SUMPRODUCT(L$8:L$217,Nutrients!$CZ$8:$CZ$217)+(IF($A$6=Nutrients!$B$8,Nutrients!$CZ$8,Nutrients!$CZ$9)*L$6)+(((IF($A$7=Nutrients!$B$79,Nutrients!$CZ$79,(IF($A$7=Nutrients!$B$77,Nutrients!$CZ$77,Nutrients!$CZ$78)))))*L$7))/2000/L$225*100</f>
        <v>133.8988457508589</v>
      </c>
      <c r="M227" s="110">
        <f>(SUMPRODUCT(M$8:M$217,Nutrients!$CZ$8:$CZ$217)+(IF($A$6=Nutrients!$B$8,Nutrients!$CZ$8,Nutrients!$CZ$9)*M$6)+(((IF($A$7=Nutrients!$B$79,Nutrients!$CZ$79,(IF($A$7=Nutrients!$B$77,Nutrients!$CZ$77,Nutrients!$CZ$78)))))*M$7))/2000/M$225*100</f>
        <v>130.57003709433218</v>
      </c>
      <c r="N227" s="110">
        <f>(SUMPRODUCT(N$8:N$217,Nutrients!$CZ$8:$CZ$217)+(IF($A$6=Nutrients!$B$8,Nutrients!$CZ$8,Nutrients!$CZ$9)*N$6)+(((IF($A$7=Nutrients!$B$79,Nutrients!$CZ$79,(IF($A$7=Nutrients!$B$77,Nutrients!$CZ$77,Nutrients!$CZ$78)))))*N$7))/2000/N$225*100</f>
        <v>127.71247281456685</v>
      </c>
      <c r="O227" s="434"/>
      <c r="P227" s="110">
        <f>(SUMPRODUCT(P$8:P$217,Nutrients!$CZ$8:$CZ$217)+(IF($A$6=Nutrients!$B$8,Nutrients!$CZ$8,Nutrients!$CZ$9)*P$6)+(((IF($A$7=Nutrients!$B$79,Nutrients!$CZ$79,(IF($A$7=Nutrients!$B$77,Nutrients!$CZ$77,Nutrients!$CZ$78)))))*P$7))/2000/P$225*100</f>
        <v>171.26645166296296</v>
      </c>
      <c r="Q227" s="110">
        <f>(SUMPRODUCT(Q$8:Q$217,Nutrients!$CZ$8:$CZ$217)+(IF($A$6=Nutrients!$B$8,Nutrients!$CZ$8,Nutrients!$CZ$9)*Q$6)+(((IF($A$7=Nutrients!$B$79,Nutrients!$CZ$79,(IF($A$7=Nutrients!$B$77,Nutrients!$CZ$77,Nutrients!$CZ$78)))))*Q$7))/2000/Q$225*100</f>
        <v>161.90742465492684</v>
      </c>
      <c r="R227" s="110">
        <f>(SUMPRODUCT(R$8:R$217,Nutrients!$CZ$8:$CZ$217)+(IF($A$6=Nutrients!$B$8,Nutrients!$CZ$8,Nutrients!$CZ$9)*R$6)+(((IF($A$7=Nutrients!$B$79,Nutrients!$CZ$79,(IF($A$7=Nutrients!$B$77,Nutrients!$CZ$77,Nutrients!$CZ$78)))))*R$7))/2000/R$225*100</f>
        <v>154.64391055549638</v>
      </c>
      <c r="S227" s="110">
        <f>(SUMPRODUCT(S$8:S$217,Nutrients!$CZ$8:$CZ$217)+(IF($A$6=Nutrients!$B$8,Nutrients!$CZ$8,Nutrients!$CZ$9)*S$6)+(((IF($A$7=Nutrients!$B$79,Nutrients!$CZ$79,(IF($A$7=Nutrients!$B$77,Nutrients!$CZ$77,Nutrients!$CZ$78)))))*S$7))/2000/S$225*100</f>
        <v>148.16144361565529</v>
      </c>
      <c r="T227" s="110">
        <f>(SUMPRODUCT(T$8:T$217,Nutrients!$CZ$8:$CZ$217)+(IF($A$6=Nutrients!$B$8,Nutrients!$CZ$8,Nutrients!$CZ$9)*T$6)+(((IF($A$7=Nutrients!$B$79,Nutrients!$CZ$79,(IF($A$7=Nutrients!$B$77,Nutrients!$CZ$77,Nutrients!$CZ$78)))))*T$7))/2000/T$225*100</f>
        <v>142.65836781375469</v>
      </c>
      <c r="U227" s="110">
        <f>(SUMPRODUCT(U$8:U$217,Nutrients!$CZ$8:$CZ$217)+(IF($A$6=Nutrients!$B$8,Nutrients!$CZ$8,Nutrients!$CZ$9)*U$6)+(((IF($A$7=Nutrients!$B$79,Nutrients!$CZ$79,(IF($A$7=Nutrients!$B$77,Nutrients!$CZ$77,Nutrients!$CZ$78)))))*U$7))/2000/U$225*100</f>
        <v>138.66608893541274</v>
      </c>
      <c r="V227" s="434"/>
      <c r="W227" s="110">
        <f>(SUMPRODUCT(W$8:W$217,Nutrients!$CZ$8:$CZ$217)+(IF($A$6=Nutrients!$B$8,Nutrients!$CZ$8,Nutrients!$CZ$9)*W$6)+(((IF($A$7=Nutrients!$B$79,Nutrients!$CZ$79,(IF($A$7=Nutrients!$B$77,Nutrients!$CZ$77,Nutrients!$CZ$78)))))*W$7))/2000/W$225*100</f>
        <v>182.88455415569754</v>
      </c>
      <c r="X227" s="110">
        <f>(SUMPRODUCT(X$8:X$217,Nutrients!$CZ$8:$CZ$217)+(IF($A$6=Nutrients!$B$8,Nutrients!$CZ$8,Nutrients!$CZ$9)*X$6)+(((IF($A$7=Nutrients!$B$79,Nutrients!$CZ$79,(IF($A$7=Nutrients!$B$77,Nutrients!$CZ$77,Nutrients!$CZ$78)))))*X$7))/2000/X$225*100</f>
        <v>171.26645166296296</v>
      </c>
      <c r="Y227" s="110">
        <f>(SUMPRODUCT(Y$8:Y$217,Nutrients!$CZ$8:$CZ$217)+(IF($A$6=Nutrients!$B$8,Nutrients!$CZ$8,Nutrients!$CZ$9)*Y$6)+(((IF($A$7=Nutrients!$B$79,Nutrients!$CZ$79,(IF($A$7=Nutrients!$B$77,Nutrients!$CZ$77,Nutrients!$CZ$78)))))*Y$7))/2000/Y$225*100</f>
        <v>161.90742465492684</v>
      </c>
      <c r="Z227" s="110">
        <f>(SUMPRODUCT(Z$8:Z$217,Nutrients!$CZ$8:$CZ$217)+(IF($A$6=Nutrients!$B$8,Nutrients!$CZ$8,Nutrients!$CZ$9)*Z$6)+(((IF($A$7=Nutrients!$B$79,Nutrients!$CZ$79,(IF($A$7=Nutrients!$B$77,Nutrients!$CZ$77,Nutrients!$CZ$78)))))*Z$7))/2000/Z$225*100</f>
        <v>154.64391055549638</v>
      </c>
      <c r="AA227" s="110">
        <f>(SUMPRODUCT(AA$8:AA$217,Nutrients!$CZ$8:$CZ$217)+(IF($A$6=Nutrients!$B$8,Nutrients!$CZ$8,Nutrients!$CZ$9)*AA$6)+(((IF($A$7=Nutrients!$B$79,Nutrients!$CZ$79,(IF($A$7=Nutrients!$B$77,Nutrients!$CZ$77,Nutrients!$CZ$78)))))*AA$7))/2000/AA$225*100</f>
        <v>148.16144361565529</v>
      </c>
      <c r="AB227" s="110">
        <f>(SUMPRODUCT(AB$8:AB$217,Nutrients!$CZ$8:$CZ$217)+(IF($A$6=Nutrients!$B$8,Nutrients!$CZ$8,Nutrients!$CZ$9)*AB$6)+(((IF($A$7=Nutrients!$B$79,Nutrients!$CZ$79,(IF($A$7=Nutrients!$B$77,Nutrients!$CZ$77,Nutrients!$CZ$78)))))*AB$7))/2000/AB$225*100</f>
        <v>142.65836781375469</v>
      </c>
      <c r="AC227" s="110">
        <f>(SUMPRODUCT(AC$8:AC$217,Nutrients!$CZ$8:$CZ$217)+(IF($A$6=Nutrients!$B$8,Nutrients!$CZ$8,Nutrients!$CZ$9)*AC$6)+(((IF($A$7=Nutrients!$B$79,Nutrients!$CZ$79,(IF($A$7=Nutrients!$B$77,Nutrients!$CZ$77,Nutrients!$CZ$78)))))*AC$7))/2000/AC$225*100</f>
        <v>138.66608893541274</v>
      </c>
      <c r="AD227" s="434"/>
      <c r="AE227" s="110">
        <f>(SUMPRODUCT(AE$8:AE$217,Nutrients!$CZ$8:$CZ$217)+(IF($A$6=Nutrients!$B$8,Nutrients!$CZ$8,Nutrients!$CZ$9)*AE$6)+(((IF($A$7=Nutrients!$B$79,Nutrients!$CZ$79,(IF($A$7=Nutrients!$B$77,Nutrients!$CZ$77,Nutrients!$CZ$78)))))*AE$7))/2000/AE$225*100</f>
        <v>245.15918140750182</v>
      </c>
      <c r="AF227" s="110">
        <f>(SUMPRODUCT(AF$8:AF$217,Nutrients!$CZ$8:$CZ$217)+(IF($A$6=Nutrients!$B$8,Nutrients!$CZ$8,Nutrients!$CZ$9)*AF$6)+(((IF($A$7=Nutrients!$B$79,Nutrients!$CZ$79,(IF($A$7=Nutrients!$B$77,Nutrients!$CZ$77,Nutrients!$CZ$78)))))*AF$7))/2000/AF$225*100</f>
        <v>214.94863430364984</v>
      </c>
      <c r="AG227" s="110">
        <f>(SUMPRODUCT(AG$8:AG$217,Nutrients!$CZ$8:$CZ$217)+(IF($A$6=Nutrients!$B$8,Nutrients!$CZ$8,Nutrients!$CZ$9)*AG$6)+(((IF($A$7=Nutrients!$B$79,Nutrients!$CZ$79,(IF($A$7=Nutrients!$B$77,Nutrients!$CZ$77,Nutrients!$CZ$78)))))*AG$7))/2000/AG$225*100</f>
        <v>192.15822157618265</v>
      </c>
      <c r="AH227" s="110">
        <f>(SUMPRODUCT(AH$8:AH$217,Nutrients!$CZ$8:$CZ$217)+(IF($A$6=Nutrients!$B$8,Nutrients!$CZ$8,Nutrients!$CZ$9)*AH$6)+(((IF($A$7=Nutrients!$B$79,Nutrients!$CZ$79,(IF($A$7=Nutrients!$B$77,Nutrients!$CZ$77,Nutrients!$CZ$78)))))*AH$7))/2000/AH$225*100</f>
        <v>174.35321163284877</v>
      </c>
      <c r="AI227" s="110">
        <f>(SUMPRODUCT(AI$8:AI$217,Nutrients!$CZ$8:$CZ$217)+(IF($A$6=Nutrients!$B$8,Nutrients!$CZ$8,Nutrients!$CZ$9)*AI$6)+(((IF($A$7=Nutrients!$B$79,Nutrients!$CZ$79,(IF($A$7=Nutrients!$B$77,Nutrients!$CZ$77,Nutrients!$CZ$78)))))*AI$7))/2000/AI$225*100</f>
        <v>160.05904872059503</v>
      </c>
      <c r="AJ227" s="110">
        <f>(SUMPRODUCT(AJ$8:AJ$217,Nutrients!$CZ$8:$CZ$217)+(IF($A$6=Nutrients!$B$8,Nutrients!$CZ$8,Nutrients!$CZ$9)*AJ$6)+(((IF($A$7=Nutrients!$B$79,Nutrients!$CZ$79,(IF($A$7=Nutrients!$B$77,Nutrients!$CZ$77,Nutrients!$CZ$78)))))*AJ$7))/2000/AJ$225*100</f>
        <v>147.66756414766522</v>
      </c>
      <c r="AK227" s="110"/>
      <c r="AL227" s="110"/>
    </row>
    <row r="228" spans="1:38" x14ac:dyDescent="0.15">
      <c r="A228" s="98" t="s">
        <v>375</v>
      </c>
      <c r="B228" s="110">
        <f>(SUMPRODUCT(B$8:B$217,Nutrients!$DB$8:$DB$217)+(IF($A$6=Nutrients!$B$8,Nutrients!$DB$8,Nutrients!$DB$9)*B$6)+(((IF($A$7=Nutrients!$B$79,Nutrients!$DB$79,(IF($A$7=Nutrients!$B$77,Nutrients!$DB$77,Nutrients!$DB$78)))))*B$7))/2000/B$225*100</f>
        <v>32.012876522087041</v>
      </c>
      <c r="C228" s="110">
        <f>(SUMPRODUCT(C$8:C$217,Nutrients!$DB$8:$DB$217)+(IF($A$6=Nutrients!$B$8,Nutrients!$DB$8,Nutrients!$DB$9)*C$6)+(((IF($A$7=Nutrients!$B$79,Nutrients!$DB$79,(IF($A$7=Nutrients!$B$77,Nutrients!$DB$77,Nutrients!$DB$78)))))*C$7))/2000/C$225*100</f>
        <v>34.11679237616633</v>
      </c>
      <c r="D228" s="110">
        <f>(SUMPRODUCT(D$8:D$217,Nutrients!$DB$8:$DB$217)+(IF($A$6=Nutrients!$B$8,Nutrients!$DB$8,Nutrients!$DB$9)*D$6)+(((IF($A$7=Nutrients!$B$79,Nutrients!$DB$79,(IF($A$7=Nutrients!$B$77,Nutrients!$DB$77,Nutrients!$DB$78)))))*D$7))/2000/D$225*100</f>
        <v>35.45417750632808</v>
      </c>
      <c r="E228" s="110">
        <f>(SUMPRODUCT(E$8:E$217,Nutrients!$DB$8:$DB$217)+(IF($A$6=Nutrients!$B$8,Nutrients!$DB$8,Nutrients!$DB$9)*E$6)+(((IF($A$7=Nutrients!$B$79,Nutrients!$DB$79,(IF($A$7=Nutrients!$B$77,Nutrients!$DB$77,Nutrients!$DB$78)))))*E$7))/2000/E$225*100</f>
        <v>36.206823692458443</v>
      </c>
      <c r="F228" s="110">
        <f>(SUMPRODUCT(F$8:F$217,Nutrients!$DB$8:$DB$217)+(IF($A$6=Nutrients!$B$8,Nutrients!$DB$8,Nutrients!$DB$9)*F$6)+(((IF($A$7=Nutrients!$B$79,Nutrients!$DB$79,(IF($A$7=Nutrients!$B$77,Nutrients!$DB$77,Nutrients!$DB$78)))))*F$7))/2000/F$225*100</f>
        <v>37.20303856757922</v>
      </c>
      <c r="G228" s="110">
        <f>(SUMPRODUCT(G$8:G$217,Nutrients!$DB$8:$DB$217)+(IF($A$6=Nutrients!$B$8,Nutrients!$DB$8,Nutrients!$DB$9)*G$6)+(((IF($A$7=Nutrients!$B$79,Nutrients!$DB$79,(IF($A$7=Nutrients!$B$77,Nutrients!$DB$77,Nutrients!$DB$78)))))*G$7))/2000/G$225*100</f>
        <v>37.412987922593288</v>
      </c>
      <c r="H228" s="434"/>
      <c r="I228" s="110">
        <f>(SUMPRODUCT(I$8:I$217,Nutrients!$DB$8:$DB$217)+(IF($A$6=Nutrients!$B$8,Nutrients!$DB$8,Nutrients!$DB$9)*I$6)+(((IF($A$7=Nutrients!$B$79,Nutrients!$DB$79,(IF($A$7=Nutrients!$B$77,Nutrients!$DB$77,Nutrients!$DB$78)))))*I$7))/2000/I$225*100</f>
        <v>30.734767800073492</v>
      </c>
      <c r="J228" s="110">
        <f>(SUMPRODUCT(J$8:J$217,Nutrients!$DB$8:$DB$217)+(IF($A$6=Nutrients!$B$8,Nutrients!$DB$8,Nutrients!$DB$9)*J$6)+(((IF($A$7=Nutrients!$B$79,Nutrients!$DB$79,(IF($A$7=Nutrients!$B$77,Nutrients!$DB$77,Nutrients!$DB$78)))))*J$7))/2000/J$225*100</f>
        <v>31.698818142736261</v>
      </c>
      <c r="K228" s="110">
        <f>(SUMPRODUCT(K$8:K$217,Nutrients!$DB$8:$DB$217)+(IF($A$6=Nutrients!$B$8,Nutrients!$DB$8,Nutrients!$DB$9)*K$6)+(((IF($A$7=Nutrients!$B$79,Nutrients!$DB$79,(IF($A$7=Nutrients!$B$77,Nutrients!$DB$77,Nutrients!$DB$78)))))*K$7))/2000/K$225*100</f>
        <v>32.494954682065</v>
      </c>
      <c r="L228" s="110">
        <f>(SUMPRODUCT(L$8:L$217,Nutrients!$DB$8:$DB$217)+(IF($A$6=Nutrients!$B$8,Nutrients!$DB$8,Nutrients!$DB$9)*L$6)+(((IF($A$7=Nutrients!$B$79,Nutrients!$DB$79,(IF($A$7=Nutrients!$B$77,Nutrients!$DB$77,Nutrients!$DB$78)))))*L$7))/2000/L$225*100</f>
        <v>33.105967949639158</v>
      </c>
      <c r="M228" s="110">
        <f>(SUMPRODUCT(M$8:M$217,Nutrients!$DB$8:$DB$217)+(IF($A$6=Nutrients!$B$8,Nutrients!$DB$8,Nutrients!$DB$9)*M$6)+(((IF($A$7=Nutrients!$B$79,Nutrients!$DB$79,(IF($A$7=Nutrients!$B$77,Nutrients!$DB$77,Nutrients!$DB$78)))))*M$7))/2000/M$225*100</f>
        <v>33.687859997142169</v>
      </c>
      <c r="N228" s="110">
        <f>(SUMPRODUCT(N$8:N$217,Nutrients!$DB$8:$DB$217)+(IF($A$6=Nutrients!$B$8,Nutrients!$DB$8,Nutrients!$DB$9)*N$6)+(((IF($A$7=Nutrients!$B$79,Nutrients!$DB$79,(IF($A$7=Nutrients!$B$77,Nutrients!$DB$77,Nutrients!$DB$78)))))*N$7))/2000/N$225*100</f>
        <v>34.196992269127144</v>
      </c>
      <c r="O228" s="434"/>
      <c r="P228" s="110">
        <f>(SUMPRODUCT(P$8:P$217,Nutrients!$DB$8:$DB$217)+(IF($A$6=Nutrients!$B$8,Nutrients!$DB$8,Nutrients!$DB$9)*P$6)+(((IF($A$7=Nutrients!$B$79,Nutrients!$DB$79,(IF($A$7=Nutrients!$B$77,Nutrients!$DB$77,Nutrients!$DB$78)))))*P$7))/2000/P$225*100</f>
        <v>33.409574240875322</v>
      </c>
      <c r="Q228" s="110">
        <f>(SUMPRODUCT(Q$8:Q$217,Nutrients!$DB$8:$DB$217)+(IF($A$6=Nutrients!$B$8,Nutrients!$DB$8,Nutrients!$DB$9)*Q$6)+(((IF($A$7=Nutrients!$B$79,Nutrients!$DB$79,(IF($A$7=Nutrients!$B$77,Nutrients!$DB$77,Nutrients!$DB$78)))))*Q$7))/2000/Q$225*100</f>
        <v>33.602424862823561</v>
      </c>
      <c r="R228" s="110">
        <f>(SUMPRODUCT(R$8:R$217,Nutrients!$DB$8:$DB$217)+(IF($A$6=Nutrients!$B$8,Nutrients!$DB$8,Nutrients!$DB$9)*R$6)+(((IF($A$7=Nutrients!$B$79,Nutrients!$DB$79,(IF($A$7=Nutrients!$B$77,Nutrients!$DB$77,Nutrients!$DB$78)))))*R$7))/2000/R$225*100</f>
        <v>34.470878483451898</v>
      </c>
      <c r="S228" s="110">
        <f>(SUMPRODUCT(S$8:S$217,Nutrients!$DB$8:$DB$217)+(IF($A$6=Nutrients!$B$8,Nutrients!$DB$8,Nutrients!$DB$9)*S$6)+(((IF($A$7=Nutrients!$B$79,Nutrients!$DB$79,(IF($A$7=Nutrients!$B$77,Nutrients!$DB$77,Nutrients!$DB$78)))))*S$7))/2000/S$225*100</f>
        <v>34.545949589059319</v>
      </c>
      <c r="T228" s="110">
        <f>(SUMPRODUCT(T$8:T$217,Nutrients!$DB$8:$DB$217)+(IF($A$6=Nutrients!$B$8,Nutrients!$DB$8,Nutrients!$DB$9)*T$6)+(((IF($A$7=Nutrients!$B$79,Nutrients!$DB$79,(IF($A$7=Nutrients!$B$77,Nutrients!$DB$77,Nutrients!$DB$78)))))*T$7))/2000/T$225*100</f>
        <v>34.610342355863317</v>
      </c>
      <c r="U228" s="110">
        <f>(SUMPRODUCT(U$8:U$217,Nutrients!$DB$8:$DB$217)+(IF($A$6=Nutrients!$B$8,Nutrients!$DB$8,Nutrients!$DB$9)*U$6)+(((IF($A$7=Nutrients!$B$79,Nutrients!$DB$79,(IF($A$7=Nutrients!$B$77,Nutrients!$DB$77,Nutrients!$DB$78)))))*U$7))/2000/U$225*100</f>
        <v>35.30097336278272</v>
      </c>
      <c r="V228" s="434"/>
      <c r="W228" s="110">
        <f>(SUMPRODUCT(W$8:W$217,Nutrients!$DB$8:$DB$217)+(IF($A$6=Nutrients!$B$8,Nutrients!$DB$8,Nutrients!$DB$9)*W$6)+(((IF($A$7=Nutrients!$B$79,Nutrients!$DB$79,(IF($A$7=Nutrients!$B$77,Nutrients!$DB$77,Nutrients!$DB$78)))))*W$7))/2000/W$225*100</f>
        <v>33.170173468801657</v>
      </c>
      <c r="X228" s="110">
        <f>(SUMPRODUCT(X$8:X$217,Nutrients!$DB$8:$DB$217)+(IF($A$6=Nutrients!$B$8,Nutrients!$DB$8,Nutrients!$DB$9)*X$6)+(((IF($A$7=Nutrients!$B$79,Nutrients!$DB$79,(IF($A$7=Nutrients!$B$77,Nutrients!$DB$77,Nutrients!$DB$78)))))*X$7))/2000/X$225*100</f>
        <v>33.409574240875322</v>
      </c>
      <c r="Y228" s="110">
        <f>(SUMPRODUCT(Y$8:Y$217,Nutrients!$DB$8:$DB$217)+(IF($A$6=Nutrients!$B$8,Nutrients!$DB$8,Nutrients!$DB$9)*Y$6)+(((IF($A$7=Nutrients!$B$79,Nutrients!$DB$79,(IF($A$7=Nutrients!$B$77,Nutrients!$DB$77,Nutrients!$DB$78)))))*Y$7))/2000/Y$225*100</f>
        <v>33.602424862823561</v>
      </c>
      <c r="Z228" s="110">
        <f>(SUMPRODUCT(Z$8:Z$217,Nutrients!$DB$8:$DB$217)+(IF($A$6=Nutrients!$B$8,Nutrients!$DB$8,Nutrients!$DB$9)*Z$6)+(((IF($A$7=Nutrients!$B$79,Nutrients!$DB$79,(IF($A$7=Nutrients!$B$77,Nutrients!$DB$77,Nutrients!$DB$78)))))*Z$7))/2000/Z$225*100</f>
        <v>34.470878483451898</v>
      </c>
      <c r="AA228" s="110">
        <f>(SUMPRODUCT(AA$8:AA$217,Nutrients!$DB$8:$DB$217)+(IF($A$6=Nutrients!$B$8,Nutrients!$DB$8,Nutrients!$DB$9)*AA$6)+(((IF($A$7=Nutrients!$B$79,Nutrients!$DB$79,(IF($A$7=Nutrients!$B$77,Nutrients!$DB$77,Nutrients!$DB$78)))))*AA$7))/2000/AA$225*100</f>
        <v>34.545949589059319</v>
      </c>
      <c r="AB228" s="110">
        <f>(SUMPRODUCT(AB$8:AB$217,Nutrients!$DB$8:$DB$217)+(IF($A$6=Nutrients!$B$8,Nutrients!$DB$8,Nutrients!$DB$9)*AB$6)+(((IF($A$7=Nutrients!$B$79,Nutrients!$DB$79,(IF($A$7=Nutrients!$B$77,Nutrients!$DB$77,Nutrients!$DB$78)))))*AB$7))/2000/AB$225*100</f>
        <v>34.610342355863317</v>
      </c>
      <c r="AC228" s="110">
        <f>(SUMPRODUCT(AC$8:AC$217,Nutrients!$DB$8:$DB$217)+(IF($A$6=Nutrients!$B$8,Nutrients!$DB$8,Nutrients!$DB$9)*AC$6)+(((IF($A$7=Nutrients!$B$79,Nutrients!$DB$79,(IF($A$7=Nutrients!$B$77,Nutrients!$DB$77,Nutrients!$DB$78)))))*AC$7))/2000/AC$225*100</f>
        <v>35.30097336278272</v>
      </c>
      <c r="AD228" s="434"/>
      <c r="AE228" s="110">
        <f>(SUMPRODUCT(AE$8:AE$217,Nutrients!$DB$8:$DB$217)+(IF($A$6=Nutrients!$B$8,Nutrients!$DB$8,Nutrients!$DB$9)*AE$6)+(((IF($A$7=Nutrients!$B$79,Nutrients!$DB$79,(IF($A$7=Nutrients!$B$77,Nutrients!$DB$77,Nutrients!$DB$78)))))*AE$7))/2000/AE$225*100</f>
        <v>44.42634937459767</v>
      </c>
      <c r="AF228" s="110">
        <f>(SUMPRODUCT(AF$8:AF$217,Nutrients!$DB$8:$DB$217)+(IF($A$6=Nutrients!$B$8,Nutrients!$DB$8,Nutrients!$DB$9)*AF$6)+(((IF($A$7=Nutrients!$B$79,Nutrients!$DB$79,(IF($A$7=Nutrients!$B$77,Nutrients!$DB$77,Nutrients!$DB$78)))))*AF$7))/2000/AF$225*100</f>
        <v>40.967679414517839</v>
      </c>
      <c r="AG228" s="110">
        <f>(SUMPRODUCT(AG$8:AG$217,Nutrients!$DB$8:$DB$217)+(IF($A$6=Nutrients!$B$8,Nutrients!$DB$8,Nutrients!$DB$9)*AG$6)+(((IF($A$7=Nutrients!$B$79,Nutrients!$DB$79,(IF($A$7=Nutrients!$B$77,Nutrients!$DB$77,Nutrients!$DB$78)))))*AG$7))/2000/AG$225*100</f>
        <v>38.358507339369922</v>
      </c>
      <c r="AH228" s="110">
        <f>(SUMPRODUCT(AH$8:AH$217,Nutrients!$DB$8:$DB$217)+(IF($A$6=Nutrients!$B$8,Nutrients!$DB$8,Nutrients!$DB$9)*AH$6)+(((IF($A$7=Nutrients!$B$79,Nutrients!$DB$79,(IF($A$7=Nutrients!$B$77,Nutrients!$DB$77,Nutrients!$DB$78)))))*AH$7))/2000/AH$225*100</f>
        <v>36.320091655660555</v>
      </c>
      <c r="AI228" s="110">
        <f>(SUMPRODUCT(AI$8:AI$217,Nutrients!$DB$8:$DB$217)+(IF($A$6=Nutrients!$B$8,Nutrients!$DB$8,Nutrients!$DB$9)*AI$6)+(((IF($A$7=Nutrients!$B$79,Nutrients!$DB$79,(IF($A$7=Nutrients!$B$77,Nutrients!$DB$77,Nutrients!$DB$78)))))*AI$7))/2000/AI$225*100</f>
        <v>34.68361709268266</v>
      </c>
      <c r="AJ228" s="110">
        <f>(SUMPRODUCT(AJ$8:AJ$217,Nutrients!$DB$8:$DB$217)+(IF($A$6=Nutrients!$B$8,Nutrients!$DB$8,Nutrients!$DB$9)*AJ$6)+(((IF($A$7=Nutrients!$B$79,Nutrients!$DB$79,(IF($A$7=Nutrients!$B$77,Nutrients!$DB$77,Nutrients!$DB$78)))))*AJ$7))/2000/AJ$225*100</f>
        <v>33.148596774823702</v>
      </c>
      <c r="AK228" s="110"/>
      <c r="AL228" s="110"/>
    </row>
    <row r="229" spans="1:38" x14ac:dyDescent="0.15">
      <c r="A229" s="98" t="s">
        <v>376</v>
      </c>
      <c r="B229" s="110">
        <f>(SUMPRODUCT(B$8:B$217,Nutrients!$DC$8:$DC$217)+(IF($A$6=Nutrients!$B$8,Nutrients!$DC$8,Nutrients!$DC$9)*B$6)+(((IF($A$7=Nutrients!$B$79,Nutrients!$DC$79,(IF($A$7=Nutrients!$B$77,Nutrients!$DC$77,Nutrients!$DC$78)))))*B$7))/2000/B$225*100</f>
        <v>57.617505311178249</v>
      </c>
      <c r="C229" s="110">
        <f>(SUMPRODUCT(C$8:C$217,Nutrients!$DC$8:$DC$217)+(IF($A$6=Nutrients!$B$8,Nutrients!$DC$8,Nutrients!$DC$9)*C$6)+(((IF($A$7=Nutrients!$B$79,Nutrients!$DC$79,(IF($A$7=Nutrients!$B$77,Nutrients!$DC$77,Nutrients!$DC$78)))))*C$7))/2000/C$225*100</f>
        <v>58.33755781928042</v>
      </c>
      <c r="D229" s="110">
        <f>(SUMPRODUCT(D$8:D$217,Nutrients!$DC$8:$DC$217)+(IF($A$6=Nutrients!$B$8,Nutrients!$DC$8,Nutrients!$DC$9)*D$6)+(((IF($A$7=Nutrients!$B$79,Nutrients!$DC$79,(IF($A$7=Nutrients!$B$77,Nutrients!$DC$77,Nutrients!$DC$78)))))*D$7))/2000/D$225*100</f>
        <v>58.518250634441095</v>
      </c>
      <c r="E229" s="110">
        <f>(SUMPRODUCT(E$8:E$217,Nutrients!$DC$8:$DC$217)+(IF($A$6=Nutrients!$B$8,Nutrients!$DC$8,Nutrients!$DC$9)*E$6)+(((IF($A$7=Nutrients!$B$79,Nutrients!$DC$79,(IF($A$7=Nutrients!$B$77,Nutrients!$DC$77,Nutrients!$DC$78)))))*E$7))/2000/E$225*100</f>
        <v>58.293989007669069</v>
      </c>
      <c r="F229" s="110">
        <f>(SUMPRODUCT(F$8:F$217,Nutrients!$DC$8:$DC$217)+(IF($A$6=Nutrients!$B$8,Nutrients!$DC$8,Nutrients!$DC$9)*F$6)+(((IF($A$7=Nutrients!$B$79,Nutrients!$DC$79,(IF($A$7=Nutrients!$B$77,Nutrients!$DC$77,Nutrients!$DC$78)))))*F$7))/2000/F$225*100</f>
        <v>58.450302839879157</v>
      </c>
      <c r="G229" s="110">
        <f>(SUMPRODUCT(G$8:G$217,Nutrients!$DC$8:$DC$217)+(IF($A$6=Nutrients!$B$8,Nutrients!$DC$8,Nutrients!$DC$9)*G$6)+(((IF($A$7=Nutrients!$B$79,Nutrients!$DC$79,(IF($A$7=Nutrients!$B$77,Nutrients!$DC$77,Nutrients!$DC$78)))))*G$7))/2000/G$225*100</f>
        <v>57.939085228600199</v>
      </c>
      <c r="H229" s="434"/>
      <c r="I229" s="110">
        <f>(SUMPRODUCT(I$8:I$217,Nutrients!$DC$8:$DC$217)+(IF($A$6=Nutrients!$B$8,Nutrients!$DC$8,Nutrients!$DC$9)*I$6)+(((IF($A$7=Nutrients!$B$79,Nutrients!$DC$79,(IF($A$7=Nutrients!$B$77,Nutrients!$DC$77,Nutrients!$DC$78)))))*I$7))/2000/I$225*100</f>
        <v>57.887873391238664</v>
      </c>
      <c r="J229" s="110">
        <f>(SUMPRODUCT(J$8:J$217,Nutrients!$DC$8:$DC$217)+(IF($A$6=Nutrients!$B$8,Nutrients!$DC$8,Nutrients!$DC$9)*J$6)+(((IF($A$7=Nutrients!$B$79,Nutrients!$DC$79,(IF($A$7=Nutrients!$B$77,Nutrients!$DC$77,Nutrients!$DC$78)))))*J$7))/2000/J$225*100</f>
        <v>57.863381023070595</v>
      </c>
      <c r="K229" s="110">
        <f>(SUMPRODUCT(K$8:K$217,Nutrients!$DC$8:$DC$217)+(IF($A$6=Nutrients!$B$8,Nutrients!$DC$8,Nutrients!$DC$9)*K$6)+(((IF($A$7=Nutrients!$B$79,Nutrients!$DC$79,(IF($A$7=Nutrients!$B$77,Nutrients!$DC$77,Nutrients!$DC$78)))))*K$7))/2000/K$225*100</f>
        <v>57.828290127139972</v>
      </c>
      <c r="L229" s="110">
        <f>(SUMPRODUCT(L$8:L$217,Nutrients!$DC$8:$DC$217)+(IF($A$6=Nutrients!$B$8,Nutrients!$DC$8,Nutrients!$DC$9)*L$6)+(((IF($A$7=Nutrients!$B$79,Nutrients!$DC$79,(IF($A$7=Nutrients!$B$77,Nutrients!$DC$77,Nutrients!$DC$78)))))*L$7))/2000/L$225*100</f>
        <v>57.674818380199866</v>
      </c>
      <c r="M229" s="110">
        <f>(SUMPRODUCT(M$8:M$217,Nutrients!$DC$8:$DC$217)+(IF($A$6=Nutrients!$B$8,Nutrients!$DC$8,Nutrients!$DC$9)*M$6)+(((IF($A$7=Nutrients!$B$79,Nutrients!$DC$79,(IF($A$7=Nutrients!$B$77,Nutrients!$DC$77,Nutrients!$DC$78)))))*M$7))/2000/M$225*100</f>
        <v>57.658209229607252</v>
      </c>
      <c r="N229" s="110">
        <f>(SUMPRODUCT(N$8:N$217,Nutrients!$DC$8:$DC$217)+(IF($A$6=Nutrients!$B$8,Nutrients!$DC$8,Nutrients!$DC$9)*N$6)+(((IF($A$7=Nutrients!$B$79,Nutrients!$DC$79,(IF($A$7=Nutrients!$B$77,Nutrients!$DC$77,Nutrients!$DC$78)))))*N$7))/2000/N$225*100</f>
        <v>57.653601691842901</v>
      </c>
      <c r="O229" s="434"/>
      <c r="P229" s="110">
        <f>(SUMPRODUCT(P$8:P$217,Nutrients!$DC$8:$DC$217)+(IF($A$6=Nutrients!$B$8,Nutrients!$DC$8,Nutrients!$DC$9)*P$6)+(((IF($A$7=Nutrients!$B$79,Nutrients!$DC$79,(IF($A$7=Nutrients!$B$77,Nutrients!$DC$77,Nutrients!$DC$78)))))*P$7))/2000/P$225*100</f>
        <v>64.745602889147108</v>
      </c>
      <c r="Q229" s="110">
        <f>(SUMPRODUCT(Q$8:Q$217,Nutrients!$DC$8:$DC$217)+(IF($A$6=Nutrients!$B$8,Nutrients!$DC$8,Nutrients!$DC$9)*Q$6)+(((IF($A$7=Nutrients!$B$79,Nutrients!$DC$79,(IF($A$7=Nutrients!$B$77,Nutrients!$DC$77,Nutrients!$DC$78)))))*Q$7))/2000/Q$225*100</f>
        <v>63.244260243370263</v>
      </c>
      <c r="R229" s="110">
        <f>(SUMPRODUCT(R$8:R$217,Nutrients!$DC$8:$DC$217)+(IF($A$6=Nutrients!$B$8,Nutrients!$DC$8,Nutrients!$DC$9)*R$6)+(((IF($A$7=Nutrients!$B$79,Nutrients!$DC$79,(IF($A$7=Nutrients!$B$77,Nutrients!$DC$77,Nutrients!$DC$78)))))*R$7))/2000/R$225*100</f>
        <v>62.79999740257751</v>
      </c>
      <c r="S229" s="110">
        <f>(SUMPRODUCT(S$8:S$217,Nutrients!$DC$8:$DC$217)+(IF($A$6=Nutrients!$B$8,Nutrients!$DC$8,Nutrients!$DC$9)*S$6)+(((IF($A$7=Nutrients!$B$79,Nutrients!$DC$79,(IF($A$7=Nutrients!$B$77,Nutrients!$DC$77,Nutrients!$DC$78)))))*S$7))/2000/S$225*100</f>
        <v>61.701422610833987</v>
      </c>
      <c r="T229" s="110">
        <f>(SUMPRODUCT(T$8:T$217,Nutrients!$DC$8:$DC$217)+(IF($A$6=Nutrients!$B$8,Nutrients!$DC$8,Nutrients!$DC$9)*T$6)+(((IF($A$7=Nutrients!$B$79,Nutrients!$DC$79,(IF($A$7=Nutrients!$B$77,Nutrients!$DC$77,Nutrients!$DC$78)))))*T$7))/2000/T$225*100</f>
        <v>60.769487515836659</v>
      </c>
      <c r="U229" s="110">
        <f>(SUMPRODUCT(U$8:U$217,Nutrients!$DC$8:$DC$217)+(IF($A$6=Nutrients!$B$8,Nutrients!$DC$8,Nutrients!$DC$9)*U$6)+(((IF($A$7=Nutrients!$B$79,Nutrients!$DC$79,(IF($A$7=Nutrients!$B$77,Nutrients!$DC$77,Nutrients!$DC$78)))))*U$7))/2000/U$225*100</f>
        <v>60.740685081571002</v>
      </c>
      <c r="V229" s="434"/>
      <c r="W229" s="110">
        <f>(SUMPRODUCT(W$8:W$217,Nutrients!$DC$8:$DC$217)+(IF($A$6=Nutrients!$B$8,Nutrients!$DC$8,Nutrients!$DC$9)*W$6)+(((IF($A$7=Nutrients!$B$79,Nutrients!$DC$79,(IF($A$7=Nutrients!$B$77,Nutrients!$DC$77,Nutrients!$DC$78)))))*W$7))/2000/W$225*100</f>
        <v>66.609338587352852</v>
      </c>
      <c r="X229" s="110">
        <f>(SUMPRODUCT(X$8:X$217,Nutrients!$DC$8:$DC$217)+(IF($A$6=Nutrients!$B$8,Nutrients!$DC$8,Nutrients!$DC$9)*X$6)+(((IF($A$7=Nutrients!$B$79,Nutrients!$DC$79,(IF($A$7=Nutrients!$B$77,Nutrients!$DC$77,Nutrients!$DC$78)))))*X$7))/2000/X$225*100</f>
        <v>64.745602889147108</v>
      </c>
      <c r="Y229" s="110">
        <f>(SUMPRODUCT(Y$8:Y$217,Nutrients!$DC$8:$DC$217)+(IF($A$6=Nutrients!$B$8,Nutrients!$DC$8,Nutrients!$DC$9)*Y$6)+(((IF($A$7=Nutrients!$B$79,Nutrients!$DC$79,(IF($A$7=Nutrients!$B$77,Nutrients!$DC$77,Nutrients!$DC$78)))))*Y$7))/2000/Y$225*100</f>
        <v>63.244260243370263</v>
      </c>
      <c r="Z229" s="110">
        <f>(SUMPRODUCT(Z$8:Z$217,Nutrients!$DC$8:$DC$217)+(IF($A$6=Nutrients!$B$8,Nutrients!$DC$8,Nutrients!$DC$9)*Z$6)+(((IF($A$7=Nutrients!$B$79,Nutrients!$DC$79,(IF($A$7=Nutrients!$B$77,Nutrients!$DC$77,Nutrients!$DC$78)))))*Z$7))/2000/Z$225*100</f>
        <v>62.79999740257751</v>
      </c>
      <c r="AA229" s="110">
        <f>(SUMPRODUCT(AA$8:AA$217,Nutrients!$DC$8:$DC$217)+(IF($A$6=Nutrients!$B$8,Nutrients!$DC$8,Nutrients!$DC$9)*AA$6)+(((IF($A$7=Nutrients!$B$79,Nutrients!$DC$79,(IF($A$7=Nutrients!$B$77,Nutrients!$DC$77,Nutrients!$DC$78)))))*AA$7))/2000/AA$225*100</f>
        <v>61.701422610833987</v>
      </c>
      <c r="AB229" s="110">
        <f>(SUMPRODUCT(AB$8:AB$217,Nutrients!$DC$8:$DC$217)+(IF($A$6=Nutrients!$B$8,Nutrients!$DC$8,Nutrients!$DC$9)*AB$6)+(((IF($A$7=Nutrients!$B$79,Nutrients!$DC$79,(IF($A$7=Nutrients!$B$77,Nutrients!$DC$77,Nutrients!$DC$78)))))*AB$7))/2000/AB$225*100</f>
        <v>60.769487515836659</v>
      </c>
      <c r="AC229" s="110">
        <f>(SUMPRODUCT(AC$8:AC$217,Nutrients!$DC$8:$DC$217)+(IF($A$6=Nutrients!$B$8,Nutrients!$DC$8,Nutrients!$DC$9)*AC$6)+(((IF($A$7=Nutrients!$B$79,Nutrients!$DC$79,(IF($A$7=Nutrients!$B$77,Nutrients!$DC$77,Nutrients!$DC$78)))))*AC$7))/2000/AC$225*100</f>
        <v>60.740685081571002</v>
      </c>
      <c r="AD229" s="434"/>
      <c r="AE229" s="110">
        <f>(SUMPRODUCT(AE$8:AE$217,Nutrients!$DC$8:$DC$217)+(IF($A$6=Nutrients!$B$8,Nutrients!$DC$8,Nutrients!$DC$9)*AE$6)+(((IF($A$7=Nutrients!$B$79,Nutrients!$DC$79,(IF($A$7=Nutrients!$B$77,Nutrients!$DC$77,Nutrients!$DC$78)))))*AE$7))/2000/AE$225*100</f>
        <v>89.238786060563456</v>
      </c>
      <c r="AF229" s="110">
        <f>(SUMPRODUCT(AF$8:AF$217,Nutrients!$DC$8:$DC$217)+(IF($A$6=Nutrients!$B$8,Nutrients!$DC$8,Nutrients!$DC$9)*AF$6)+(((IF($A$7=Nutrients!$B$79,Nutrients!$DC$79,(IF($A$7=Nutrients!$B$77,Nutrients!$DC$77,Nutrients!$DC$78)))))*AF$7))/2000/AF$225*100</f>
        <v>80.270211313595155</v>
      </c>
      <c r="AG229" s="110">
        <f>(SUMPRODUCT(AG$8:AG$217,Nutrients!$DC$8:$DC$217)+(IF($A$6=Nutrients!$B$8,Nutrients!$DC$8,Nutrients!$DC$9)*AG$6)+(((IF($A$7=Nutrients!$B$79,Nutrients!$DC$79,(IF($A$7=Nutrients!$B$77,Nutrients!$DC$77,Nutrients!$DC$78)))))*AG$7))/2000/AG$225*100</f>
        <v>73.504444399215572</v>
      </c>
      <c r="AH229" s="110">
        <f>(SUMPRODUCT(AH$8:AH$217,Nutrients!$DC$8:$DC$217)+(IF($A$6=Nutrients!$B$8,Nutrients!$DC$8,Nutrients!$DC$9)*AH$6)+(((IF($A$7=Nutrients!$B$79,Nutrients!$DC$79,(IF($A$7=Nutrients!$B$77,Nutrients!$DC$77,Nutrients!$DC$78)))))*AH$7))/2000/AH$225*100</f>
        <v>68.218688997356466</v>
      </c>
      <c r="AI229" s="110">
        <f>(SUMPRODUCT(AI$8:AI$217,Nutrients!$DC$8:$DC$217)+(IF($A$6=Nutrients!$B$8,Nutrients!$DC$8,Nutrients!$DC$9)*AI$6)+(((IF($A$7=Nutrients!$B$79,Nutrients!$DC$79,(IF($A$7=Nutrients!$B$77,Nutrients!$DC$77,Nutrients!$DC$78)))))*AI$7))/2000/AI$225*100</f>
        <v>63.975195224033044</v>
      </c>
      <c r="AJ229" s="110">
        <f>(SUMPRODUCT(AJ$8:AJ$217,Nutrients!$DC$8:$DC$217)+(IF($A$6=Nutrients!$B$8,Nutrients!$DC$8,Nutrients!$DC$9)*AJ$6)+(((IF($A$7=Nutrients!$B$79,Nutrients!$DC$79,(IF($A$7=Nutrients!$B$77,Nutrients!$DC$77,Nutrients!$DC$78)))))*AJ$7))/2000/AJ$225*100</f>
        <v>60.182699843206244</v>
      </c>
      <c r="AK229" s="110"/>
      <c r="AL229" s="110"/>
    </row>
    <row r="230" spans="1:38" x14ac:dyDescent="0.15">
      <c r="A230" s="98" t="s">
        <v>377</v>
      </c>
      <c r="B230" s="110">
        <f>(SUMPRODUCT(B$8:B$217,Nutrients!$DF$8:$DF$217)+(IF($A$6=Nutrients!$B$8,Nutrients!$DF$8,Nutrients!$DF$9)*B$6)+(((IF($A$7=Nutrients!$B$79,Nutrients!$DF$79,(IF($A$7=Nutrients!$B$77,Nutrients!$DF$77,Nutrients!$DF$78)))))*B$7))/2000/B$225*100</f>
        <v>62.834527166571398</v>
      </c>
      <c r="C230" s="110">
        <f>(SUMPRODUCT(C$8:C$217,Nutrients!$DF$8:$DF$217)+(IF($A$6=Nutrients!$B$8,Nutrients!$DF$8,Nutrients!$DF$9)*C$6)+(((IF($A$7=Nutrients!$B$79,Nutrients!$DF$79,(IF($A$7=Nutrients!$B$77,Nutrients!$DF$77,Nutrients!$DF$78)))))*C$7))/2000/C$225*100</f>
        <v>63.292626091807278</v>
      </c>
      <c r="D230" s="110">
        <f>(SUMPRODUCT(D$8:D$217,Nutrients!$DF$8:$DF$217)+(IF($A$6=Nutrients!$B$8,Nutrients!$DF$8,Nutrients!$DF$9)*D$6)+(((IF($A$7=Nutrients!$B$79,Nutrients!$DF$79,(IF($A$7=Nutrients!$B$77,Nutrients!$DF$77,Nutrients!$DF$78)))))*D$7))/2000/D$225*100</f>
        <v>62.850261397076835</v>
      </c>
      <c r="E230" s="110">
        <f>(SUMPRODUCT(E$8:E$217,Nutrients!$DF$8:$DF$217)+(IF($A$6=Nutrients!$B$8,Nutrients!$DF$8,Nutrients!$DF$9)*E$6)+(((IF($A$7=Nutrients!$B$79,Nutrients!$DF$79,(IF($A$7=Nutrients!$B$77,Nutrients!$DF$77,Nutrients!$DF$78)))))*E$7))/2000/E$225*100</f>
        <v>62.856529318640057</v>
      </c>
      <c r="F230" s="110">
        <f>(SUMPRODUCT(F$8:F$217,Nutrients!$DF$8:$DF$217)+(IF($A$6=Nutrients!$B$8,Nutrients!$DF$8,Nutrients!$DF$9)*F$6)+(((IF($A$7=Nutrients!$B$79,Nutrients!$DF$79,(IF($A$7=Nutrients!$B$77,Nutrients!$DF$77,Nutrients!$DF$78)))))*F$7))/2000/F$225*100</f>
        <v>63.211277399013156</v>
      </c>
      <c r="G230" s="110">
        <f>(SUMPRODUCT(G$8:G$217,Nutrients!$DF$8:$DF$217)+(IF($A$6=Nutrients!$B$8,Nutrients!$DF$8,Nutrients!$DF$9)*G$6)+(((IF($A$7=Nutrients!$B$79,Nutrients!$DF$79,(IF($A$7=Nutrients!$B$77,Nutrients!$DF$77,Nutrients!$DF$78)))))*G$7))/2000/G$225*100</f>
        <v>62.868432545004218</v>
      </c>
      <c r="H230" s="434"/>
      <c r="I230" s="110">
        <f>(SUMPRODUCT(I$8:I$217,Nutrients!$DF$8:$DF$217)+(IF($A$6=Nutrients!$B$8,Nutrients!$DF$8,Nutrients!$DF$9)*I$6)+(((IF($A$7=Nutrients!$B$79,Nutrients!$DF$79,(IF($A$7=Nutrients!$B$77,Nutrients!$DF$77,Nutrients!$DF$78)))))*I$7))/2000/I$225*100</f>
        <v>63.26813241783703</v>
      </c>
      <c r="J230" s="110">
        <f>(SUMPRODUCT(J$8:J$217,Nutrients!$DF$8:$DF$217)+(IF($A$6=Nutrients!$B$8,Nutrients!$DF$8,Nutrients!$DF$9)*J$6)+(((IF($A$7=Nutrients!$B$79,Nutrients!$DF$79,(IF($A$7=Nutrients!$B$77,Nutrients!$DF$77,Nutrients!$DF$78)))))*J$7))/2000/J$225*100</f>
        <v>63.224236423038683</v>
      </c>
      <c r="K230" s="110">
        <f>(SUMPRODUCT(K$8:K$217,Nutrients!$DF$8:$DF$217)+(IF($A$6=Nutrients!$B$8,Nutrients!$DF$8,Nutrients!$DF$9)*K$6)+(((IF($A$7=Nutrients!$B$79,Nutrients!$DF$79,(IF($A$7=Nutrients!$B$77,Nutrients!$DF$77,Nutrients!$DF$78)))))*K$7))/2000/K$225*100</f>
        <v>63.180626857886949</v>
      </c>
      <c r="L230" s="110">
        <f>(SUMPRODUCT(L$8:L$217,Nutrients!$DF$8:$DF$217)+(IF($A$6=Nutrients!$B$8,Nutrients!$DF$8,Nutrients!$DF$9)*L$6)+(((IF($A$7=Nutrients!$B$79,Nutrients!$DF$79,(IF($A$7=Nutrients!$B$77,Nutrients!$DF$77,Nutrients!$DF$78)))))*L$7))/2000/L$225*100</f>
        <v>62.464931861774616</v>
      </c>
      <c r="M230" s="110">
        <f>(SUMPRODUCT(M$8:M$217,Nutrients!$DF$8:$DF$217)+(IF($A$6=Nutrients!$B$8,Nutrients!$DF$8,Nutrients!$DF$9)*M$6)+(((IF($A$7=Nutrients!$B$79,Nutrients!$DF$79,(IF($A$7=Nutrients!$B$77,Nutrients!$DF$77,Nutrients!$DF$78)))))*M$7))/2000/M$225*100</f>
        <v>62.481788274592041</v>
      </c>
      <c r="N230" s="110">
        <f>(SUMPRODUCT(N$8:N$217,Nutrients!$DF$8:$DF$217)+(IF($A$6=Nutrients!$B$8,Nutrients!$DF$8,Nutrients!$DF$9)*N$6)+(((IF($A$7=Nutrients!$B$79,Nutrients!$DF$79,(IF($A$7=Nutrients!$B$77,Nutrients!$DF$77,Nutrients!$DF$78)))))*N$7))/2000/N$225*100</f>
        <v>62.501083545358057</v>
      </c>
      <c r="O230" s="434"/>
      <c r="P230" s="110">
        <f>(SUMPRODUCT(P$8:P$217,Nutrients!$DF$8:$DF$217)+(IF($A$6=Nutrients!$B$8,Nutrients!$DF$8,Nutrients!$DF$9)*P$6)+(((IF($A$7=Nutrients!$B$79,Nutrients!$DF$79,(IF($A$7=Nutrients!$B$77,Nutrients!$DF$77,Nutrients!$DF$78)))))*P$7))/2000/P$225*100</f>
        <v>65.624579551262158</v>
      </c>
      <c r="Q230" s="110">
        <f>(SUMPRODUCT(Q$8:Q$217,Nutrients!$DF$8:$DF$217)+(IF($A$6=Nutrients!$B$8,Nutrients!$DF$8,Nutrients!$DF$9)*Q$6)+(((IF($A$7=Nutrients!$B$79,Nutrients!$DF$79,(IF($A$7=Nutrients!$B$77,Nutrients!$DF$77,Nutrients!$DF$78)))))*Q$7))/2000/Q$225*100</f>
        <v>65.506675315338015</v>
      </c>
      <c r="R230" s="110">
        <f>(SUMPRODUCT(R$8:R$217,Nutrients!$DF$8:$DF$217)+(IF($A$6=Nutrients!$B$8,Nutrients!$DF$8,Nutrients!$DF$9)*R$6)+(((IF($A$7=Nutrients!$B$79,Nutrients!$DF$79,(IF($A$7=Nutrients!$B$77,Nutrients!$DF$77,Nutrients!$DF$78)))))*R$7))/2000/R$225*100</f>
        <v>66.30398036702347</v>
      </c>
      <c r="S230" s="110">
        <f>(SUMPRODUCT(S$8:S$217,Nutrients!$DF$8:$DF$217)+(IF($A$6=Nutrients!$B$8,Nutrients!$DF$8,Nutrients!$DF$9)*S$6)+(((IF($A$7=Nutrients!$B$79,Nutrients!$DF$79,(IF($A$7=Nutrients!$B$77,Nutrients!$DF$77,Nutrients!$DF$78)))))*S$7))/2000/S$225*100</f>
        <v>66.14996977752503</v>
      </c>
      <c r="T230" s="110">
        <f>(SUMPRODUCT(T$8:T$217,Nutrients!$DF$8:$DF$217)+(IF($A$6=Nutrients!$B$8,Nutrients!$DF$8,Nutrients!$DF$9)*T$6)+(((IF($A$7=Nutrients!$B$79,Nutrients!$DF$79,(IF($A$7=Nutrients!$B$77,Nutrients!$DF$77,Nutrients!$DF$78)))))*T$7))/2000/T$225*100</f>
        <v>66.019748271992867</v>
      </c>
      <c r="U230" s="110">
        <f>(SUMPRODUCT(U$8:U$217,Nutrients!$DF$8:$DF$217)+(IF($A$6=Nutrients!$B$8,Nutrients!$DF$8,Nutrients!$DF$9)*U$6)+(((IF($A$7=Nutrients!$B$79,Nutrients!$DF$79,(IF($A$7=Nutrients!$B$77,Nutrients!$DF$77,Nutrients!$DF$78)))))*U$7))/2000/U$225*100</f>
        <v>65.359323222095213</v>
      </c>
      <c r="V230" s="434"/>
      <c r="W230" s="110">
        <f>(SUMPRODUCT(W$8:W$217,Nutrients!$DF$8:$DF$217)+(IF($A$6=Nutrients!$B$8,Nutrients!$DF$8,Nutrients!$DF$9)*W$6)+(((IF($A$7=Nutrients!$B$79,Nutrients!$DF$79,(IF($A$7=Nutrients!$B$77,Nutrients!$DF$77,Nutrients!$DF$78)))))*W$7))/2000/W$225*100</f>
        <v>65.770943430340452</v>
      </c>
      <c r="X230" s="110">
        <f>(SUMPRODUCT(X$8:X$217,Nutrients!$DF$8:$DF$217)+(IF($A$6=Nutrients!$B$8,Nutrients!$DF$8,Nutrients!$DF$9)*X$6)+(((IF($A$7=Nutrients!$B$79,Nutrients!$DF$79,(IF($A$7=Nutrients!$B$77,Nutrients!$DF$77,Nutrients!$DF$78)))))*X$7))/2000/X$225*100</f>
        <v>65.624579551262158</v>
      </c>
      <c r="Y230" s="110">
        <f>(SUMPRODUCT(Y$8:Y$217,Nutrients!$DF$8:$DF$217)+(IF($A$6=Nutrients!$B$8,Nutrients!$DF$8,Nutrients!$DF$9)*Y$6)+(((IF($A$7=Nutrients!$B$79,Nutrients!$DF$79,(IF($A$7=Nutrients!$B$77,Nutrients!$DF$77,Nutrients!$DF$78)))))*Y$7))/2000/Y$225*100</f>
        <v>65.506675315338015</v>
      </c>
      <c r="Z230" s="110">
        <f>(SUMPRODUCT(Z$8:Z$217,Nutrients!$DF$8:$DF$217)+(IF($A$6=Nutrients!$B$8,Nutrients!$DF$8,Nutrients!$DF$9)*Z$6)+(((IF($A$7=Nutrients!$B$79,Nutrients!$DF$79,(IF($A$7=Nutrients!$B$77,Nutrients!$DF$77,Nutrients!$DF$78)))))*Z$7))/2000/Z$225*100</f>
        <v>66.30398036702347</v>
      </c>
      <c r="AA230" s="110">
        <f>(SUMPRODUCT(AA$8:AA$217,Nutrients!$DF$8:$DF$217)+(IF($A$6=Nutrients!$B$8,Nutrients!$DF$8,Nutrients!$DF$9)*AA$6)+(((IF($A$7=Nutrients!$B$79,Nutrients!$DF$79,(IF($A$7=Nutrients!$B$77,Nutrients!$DF$77,Nutrients!$DF$78)))))*AA$7))/2000/AA$225*100</f>
        <v>66.14996977752503</v>
      </c>
      <c r="AB230" s="110">
        <f>(SUMPRODUCT(AB$8:AB$217,Nutrients!$DF$8:$DF$217)+(IF($A$6=Nutrients!$B$8,Nutrients!$DF$8,Nutrients!$DF$9)*AB$6)+(((IF($A$7=Nutrients!$B$79,Nutrients!$DF$79,(IF($A$7=Nutrients!$B$77,Nutrients!$DF$77,Nutrients!$DF$78)))))*AB$7))/2000/AB$225*100</f>
        <v>66.019748271992867</v>
      </c>
      <c r="AC230" s="110">
        <f>(SUMPRODUCT(AC$8:AC$217,Nutrients!$DF$8:$DF$217)+(IF($A$6=Nutrients!$B$8,Nutrients!$DF$8,Nutrients!$DF$9)*AC$6)+(((IF($A$7=Nutrients!$B$79,Nutrients!$DF$79,(IF($A$7=Nutrients!$B$77,Nutrients!$DF$77,Nutrients!$DF$78)))))*AC$7))/2000/AC$225*100</f>
        <v>65.359323222095213</v>
      </c>
      <c r="AD230" s="434"/>
      <c r="AE230" s="110">
        <f>(SUMPRODUCT(AE$8:AE$217,Nutrients!$DF$8:$DF$217)+(IF($A$6=Nutrients!$B$8,Nutrients!$DF$8,Nutrients!$DF$9)*AE$6)+(((IF($A$7=Nutrients!$B$79,Nutrients!$DF$79,(IF($A$7=Nutrients!$B$77,Nutrients!$DF$77,Nutrients!$DF$78)))))*AE$7))/2000/AE$225*100</f>
        <v>81.259966353411627</v>
      </c>
      <c r="AF230" s="110">
        <f>(SUMPRODUCT(AF$8:AF$217,Nutrients!$DF$8:$DF$217)+(IF($A$6=Nutrients!$B$8,Nutrients!$DF$8,Nutrients!$DF$9)*AF$6)+(((IF($A$7=Nutrients!$B$79,Nutrients!$DF$79,(IF($A$7=Nutrients!$B$77,Nutrients!$DF$77,Nutrients!$DF$78)))))*AF$7))/2000/AF$225*100</f>
        <v>76.511075579358206</v>
      </c>
      <c r="AG230" s="110">
        <f>(SUMPRODUCT(AG$8:AG$217,Nutrients!$DF$8:$DF$217)+(IF($A$6=Nutrients!$B$8,Nutrients!$DF$8,Nutrients!$DF$9)*AG$6)+(((IF($A$7=Nutrients!$B$79,Nutrients!$DF$79,(IF($A$7=Nutrients!$B$77,Nutrients!$DF$77,Nutrients!$DF$78)))))*AG$7))/2000/AG$225*100</f>
        <v>72.928579030510889</v>
      </c>
      <c r="AH230" s="110">
        <f>(SUMPRODUCT(AH$8:AH$217,Nutrients!$DF$8:$DF$217)+(IF($A$6=Nutrients!$B$8,Nutrients!$DF$8,Nutrients!$DF$9)*AH$6)+(((IF($A$7=Nutrients!$B$79,Nutrients!$DF$79,(IF($A$7=Nutrients!$B$77,Nutrients!$DF$77,Nutrients!$DF$78)))))*AH$7))/2000/AH$225*100</f>
        <v>70.129753601723849</v>
      </c>
      <c r="AI230" s="110">
        <f>(SUMPRODUCT(AI$8:AI$217,Nutrients!$DF$8:$DF$217)+(IF($A$6=Nutrients!$B$8,Nutrients!$DF$8,Nutrients!$DF$9)*AI$6)+(((IF($A$7=Nutrients!$B$79,Nutrients!$DF$79,(IF($A$7=Nutrients!$B$77,Nutrients!$DF$77,Nutrients!$DF$78)))))*AI$7))/2000/AI$225*100</f>
        <v>67.882809243401979</v>
      </c>
      <c r="AJ230" s="110">
        <f>(SUMPRODUCT(AJ$8:AJ$217,Nutrients!$DF$8:$DF$217)+(IF($A$6=Nutrients!$B$8,Nutrients!$DF$8,Nutrients!$DF$9)*AJ$6)+(((IF($A$7=Nutrients!$B$79,Nutrients!$DF$79,(IF($A$7=Nutrients!$B$77,Nutrients!$DF$77,Nutrients!$DF$78)))))*AJ$7))/2000/AJ$225*100</f>
        <v>65.908847417140663</v>
      </c>
      <c r="AK230" s="110"/>
      <c r="AL230" s="110"/>
    </row>
    <row r="231" spans="1:38" x14ac:dyDescent="0.15">
      <c r="A231" s="98" t="s">
        <v>378</v>
      </c>
      <c r="B231" s="123">
        <f>(SUMPRODUCT(B$8:B$217,Nutrients!$DG$8:$DG$217)+(IF($A$6=Nutrients!$B$8,Nutrients!$DG$8,Nutrients!$DG$9)*B$6)+(((IF($A$7=Nutrients!$B$79,Nutrients!$DG$79,(IF($A$7=Nutrients!$B$77,Nutrients!$DG$77,Nutrients!$DG$78)))))*B$7))/2000/B$225*100</f>
        <v>19.201122029476604</v>
      </c>
      <c r="C231" s="123">
        <f>(SUMPRODUCT(C$8:C$217,Nutrients!$DG$8:$DG$217)+(IF($A$6=Nutrients!$B$8,Nutrients!$DG$8,Nutrients!$DG$9)*C$6)+(((IF($A$7=Nutrients!$B$79,Nutrients!$DG$79,(IF($A$7=Nutrients!$B$77,Nutrients!$DG$77,Nutrients!$DG$78)))))*C$7))/2000/C$225*100</f>
        <v>19.14196969610369</v>
      </c>
      <c r="D231" s="123">
        <f>(SUMPRODUCT(D$8:D$217,Nutrients!$DG$8:$DG$217)+(IF($A$6=Nutrients!$B$8,Nutrients!$DG$8,Nutrients!$DG$9)*D$6)+(((IF($A$7=Nutrients!$B$79,Nutrients!$DG$79,(IF($A$7=Nutrients!$B$77,Nutrients!$DG$77,Nutrients!$DG$78)))))*D$7))/2000/D$225*100</f>
        <v>19.092493418796437</v>
      </c>
      <c r="E231" s="123">
        <f>(SUMPRODUCT(E$8:E$217,Nutrients!$DG$8:$DG$217)+(IF($A$6=Nutrients!$B$8,Nutrients!$DG$8,Nutrients!$DG$9)*E$6)+(((IF($A$7=Nutrients!$B$79,Nutrients!$DG$79,(IF($A$7=Nutrients!$B$77,Nutrients!$DG$77,Nutrients!$DG$78)))))*E$7))/2000/E$225*100</f>
        <v>19.050725227842296</v>
      </c>
      <c r="F231" s="123">
        <f>(SUMPRODUCT(F$8:F$217,Nutrients!$DG$8:$DG$217)+(IF($A$6=Nutrients!$B$8,Nutrients!$DG$8,Nutrients!$DG$9)*F$6)+(((IF($A$7=Nutrients!$B$79,Nutrients!$DG$79,(IF($A$7=Nutrients!$B$77,Nutrients!$DG$77,Nutrients!$DG$78)))))*F$7))/2000/F$225*100</f>
        <v>19.014789717598475</v>
      </c>
      <c r="G231" s="123">
        <f>(SUMPRODUCT(G$8:G$217,Nutrients!$DG$8:$DG$217)+(IF($A$6=Nutrients!$B$8,Nutrients!$DG$8,Nutrients!$DG$9)*G$6)+(((IF($A$7=Nutrients!$B$79,Nutrients!$DG$79,(IF($A$7=Nutrients!$B$77,Nutrients!$DG$77,Nutrients!$DG$78)))))*G$7))/2000/G$225*100</f>
        <v>18.984000502980322</v>
      </c>
      <c r="H231" s="435"/>
      <c r="I231" s="123">
        <f>(SUMPRODUCT(I$8:I$217,Nutrients!$DG$8:$DG$217)+(IF($A$6=Nutrients!$B$8,Nutrients!$DG$8,Nutrients!$DG$9)*I$6)+(((IF($A$7=Nutrients!$B$79,Nutrients!$DG$79,(IF($A$7=Nutrients!$B$77,Nutrients!$DG$77,Nutrients!$DG$78)))))*I$7))/2000/I$225*100</f>
        <v>19.032569173573123</v>
      </c>
      <c r="J231" s="123">
        <f>(SUMPRODUCT(J$8:J$217,Nutrients!$DG$8:$DG$217)+(IF($A$6=Nutrients!$B$8,Nutrients!$DG$8,Nutrients!$DG$9)*J$6)+(((IF($A$7=Nutrients!$B$79,Nutrients!$DG$79,(IF($A$7=Nutrients!$B$77,Nutrients!$DG$77,Nutrients!$DG$78)))))*J$7))/2000/J$225*100</f>
        <v>19.041028145204397</v>
      </c>
      <c r="K231" s="123">
        <f>(SUMPRODUCT(K$8:K$217,Nutrients!$DG$8:$DG$217)+(IF($A$6=Nutrients!$B$8,Nutrients!$DG$8,Nutrients!$DG$9)*K$6)+(((IF($A$7=Nutrients!$B$79,Nutrients!$DG$79,(IF($A$7=Nutrients!$B$77,Nutrients!$DG$77,Nutrients!$DG$78)))))*K$7))/2000/K$225*100</f>
        <v>19.047685860738</v>
      </c>
      <c r="L231" s="123">
        <f>(SUMPRODUCT(L$8:L$217,Nutrients!$DG$8:$DG$217)+(IF($A$6=Nutrients!$B$8,Nutrients!$DG$8,Nutrients!$DG$9)*L$6)+(((IF($A$7=Nutrients!$B$79,Nutrients!$DG$79,(IF($A$7=Nutrients!$B$77,Nutrients!$DG$77,Nutrients!$DG$78)))))*L$7))/2000/L$225*100</f>
        <v>18.968180452198656</v>
      </c>
      <c r="M231" s="123">
        <f>(SUMPRODUCT(M$8:M$217,Nutrients!$DG$8:$DG$217)+(IF($A$6=Nutrients!$B$8,Nutrients!$DG$8,Nutrients!$DG$9)*M$6)+(((IF($A$7=Nutrients!$B$79,Nutrients!$DG$79,(IF($A$7=Nutrients!$B$77,Nutrients!$DG$77,Nutrients!$DG$78)))))*M$7))/2000/M$225*100</f>
        <v>18.979090472156454</v>
      </c>
      <c r="N231" s="123">
        <f>(SUMPRODUCT(N$8:N$217,Nutrients!$DG$8:$DG$217)+(IF($A$6=Nutrients!$B$8,Nutrients!$DG$8,Nutrients!$DG$9)*N$6)+(((IF($A$7=Nutrients!$B$79,Nutrients!$DG$79,(IF($A$7=Nutrients!$B$77,Nutrients!$DG$77,Nutrients!$DG$78)))))*N$7))/2000/N$225*100</f>
        <v>18.988806774448168</v>
      </c>
      <c r="O231" s="435"/>
      <c r="P231" s="123">
        <f>(SUMPRODUCT(P$8:P$217,Nutrients!$DG$8:$DG$217)+(IF($A$6=Nutrients!$B$8,Nutrients!$DG$8,Nutrients!$DG$9)*P$6)+(((IF($A$7=Nutrients!$B$79,Nutrients!$DG$79,(IF($A$7=Nutrients!$B$77,Nutrients!$DG$77,Nutrients!$DG$78)))))*P$7))/2000/P$225*100</f>
        <v>19.196275643517094</v>
      </c>
      <c r="Q231" s="123">
        <f>(SUMPRODUCT(Q$8:Q$217,Nutrients!$DG$8:$DG$217)+(IF($A$6=Nutrients!$B$8,Nutrients!$DG$8,Nutrients!$DG$9)*Q$6)+(((IF($A$7=Nutrients!$B$79,Nutrients!$DG$79,(IF($A$7=Nutrients!$B$77,Nutrients!$DG$77,Nutrients!$DG$78)))))*Q$7))/2000/Q$225*100</f>
        <v>19.16624960795388</v>
      </c>
      <c r="R231" s="123">
        <f>(SUMPRODUCT(R$8:R$217,Nutrients!$DG$8:$DG$217)+(IF($A$6=Nutrients!$B$8,Nutrients!$DG$8,Nutrients!$DG$9)*R$6)+(((IF($A$7=Nutrients!$B$79,Nutrients!$DG$79,(IF($A$7=Nutrients!$B$77,Nutrients!$DG$77,Nutrients!$DG$78)))))*R$7))/2000/R$225*100</f>
        <v>19.253665817616916</v>
      </c>
      <c r="S231" s="123">
        <f>(SUMPRODUCT(S$8:S$217,Nutrients!$DG$8:$DG$217)+(IF($A$6=Nutrients!$B$8,Nutrients!$DG$8,Nutrients!$DG$9)*S$6)+(((IF($A$7=Nutrients!$B$79,Nutrients!$DG$79,(IF($A$7=Nutrients!$B$77,Nutrients!$DG$77,Nutrients!$DG$78)))))*S$7))/2000/S$225*100</f>
        <v>19.223856448090761</v>
      </c>
      <c r="T231" s="123">
        <f>(SUMPRODUCT(T$8:T$217,Nutrients!$DG$8:$DG$217)+(IF($A$6=Nutrients!$B$8,Nutrients!$DG$8,Nutrients!$DG$9)*T$6)+(((IF($A$7=Nutrients!$B$79,Nutrients!$DG$79,(IF($A$7=Nutrients!$B$77,Nutrients!$DG$77,Nutrients!$DG$78)))))*T$7))/2000/T$225*100</f>
        <v>19.198568181718411</v>
      </c>
      <c r="U231" s="123">
        <f>(SUMPRODUCT(U$8:U$217,Nutrients!$DG$8:$DG$217)+(IF($A$6=Nutrients!$B$8,Nutrients!$DG$8,Nutrients!$DG$9)*U$6)+(((IF($A$7=Nutrients!$B$79,Nutrients!$DG$79,(IF($A$7=Nutrients!$B$77,Nutrients!$DG$77,Nutrients!$DG$78)))))*U$7))/2000/U$225*100</f>
        <v>19.25644770596881</v>
      </c>
      <c r="V231" s="435"/>
      <c r="W231" s="123">
        <f>(SUMPRODUCT(W$8:W$217,Nutrients!$DG$8:$DG$217)+(IF($A$6=Nutrients!$B$8,Nutrients!$DG$8,Nutrients!$DG$9)*W$6)+(((IF($A$7=Nutrients!$B$79,Nutrients!$DG$79,(IF($A$7=Nutrients!$B$77,Nutrients!$DG$77,Nutrients!$DG$78)))))*W$7))/2000/W$225*100</f>
        <v>18.388721756630062</v>
      </c>
      <c r="X231" s="123">
        <f>(SUMPRODUCT(X$8:X$217,Nutrients!$DG$8:$DG$217)+(IF($A$6=Nutrients!$B$8,Nutrients!$DG$8,Nutrients!$DG$9)*X$6)+(((IF($A$7=Nutrients!$B$79,Nutrients!$DG$79,(IF($A$7=Nutrients!$B$77,Nutrients!$DG$77,Nutrients!$DG$78)))))*X$7))/2000/X$225*100</f>
        <v>19.196275643517094</v>
      </c>
      <c r="Y231" s="123">
        <f>(SUMPRODUCT(Y$8:Y$217,Nutrients!$DG$8:$DG$217)+(IF($A$6=Nutrients!$B$8,Nutrients!$DG$8,Nutrients!$DG$9)*Y$6)+(((IF($A$7=Nutrients!$B$79,Nutrients!$DG$79,(IF($A$7=Nutrients!$B$77,Nutrients!$DG$77,Nutrients!$DG$78)))))*Y$7))/2000/Y$225*100</f>
        <v>19.16624960795388</v>
      </c>
      <c r="Z231" s="123">
        <f>(SUMPRODUCT(Z$8:Z$217,Nutrients!$DG$8:$DG$217)+(IF($A$6=Nutrients!$B$8,Nutrients!$DG$8,Nutrients!$DG$9)*Z$6)+(((IF($A$7=Nutrients!$B$79,Nutrients!$DG$79,(IF($A$7=Nutrients!$B$77,Nutrients!$DG$77,Nutrients!$DG$78)))))*Z$7))/2000/Z$225*100</f>
        <v>19.253665817616916</v>
      </c>
      <c r="AA231" s="123">
        <f>(SUMPRODUCT(AA$8:AA$217,Nutrients!$DG$8:$DG$217)+(IF($A$6=Nutrients!$B$8,Nutrients!$DG$8,Nutrients!$DG$9)*AA$6)+(((IF($A$7=Nutrients!$B$79,Nutrients!$DG$79,(IF($A$7=Nutrients!$B$77,Nutrients!$DG$77,Nutrients!$DG$78)))))*AA$7))/2000/AA$225*100</f>
        <v>19.223856448090761</v>
      </c>
      <c r="AB231" s="123">
        <f>(SUMPRODUCT(AB$8:AB$217,Nutrients!$DG$8:$DG$217)+(IF($A$6=Nutrients!$B$8,Nutrients!$DG$8,Nutrients!$DG$9)*AB$6)+(((IF($A$7=Nutrients!$B$79,Nutrients!$DG$79,(IF($A$7=Nutrients!$B$77,Nutrients!$DG$77,Nutrients!$DG$78)))))*AB$7))/2000/AB$225*100</f>
        <v>19.198568181718411</v>
      </c>
      <c r="AC231" s="123">
        <f>(SUMPRODUCT(AC$8:AC$217,Nutrients!$DG$8:$DG$217)+(IF($A$6=Nutrients!$B$8,Nutrients!$DG$8,Nutrients!$DG$9)*AC$6)+(((IF($A$7=Nutrients!$B$79,Nutrients!$DG$79,(IF($A$7=Nutrients!$B$77,Nutrients!$DG$77,Nutrients!$DG$78)))))*AC$7))/2000/AC$225*100</f>
        <v>19.25644770596881</v>
      </c>
      <c r="AD231" s="435"/>
      <c r="AE231" s="123">
        <f>(SUMPRODUCT(AE$8:AE$217,Nutrients!$DG$8:$DG$217)+(IF($A$6=Nutrients!$B$8,Nutrients!$DG$8,Nutrients!$DG$9)*AE$6)+(((IF($A$7=Nutrients!$B$79,Nutrients!$DG$79,(IF($A$7=Nutrients!$B$77,Nutrients!$DG$77,Nutrients!$DG$78)))))*AE$7))/2000/AE$225*100</f>
        <v>23.981417860282818</v>
      </c>
      <c r="AF231" s="123">
        <f>(SUMPRODUCT(AF$8:AF$217,Nutrients!$DG$8:$DG$217)+(IF($A$6=Nutrients!$B$8,Nutrients!$DG$8,Nutrients!$DG$9)*AF$6)+(((IF($A$7=Nutrients!$B$79,Nutrients!$DG$79,(IF($A$7=Nutrients!$B$77,Nutrients!$DG$77,Nutrients!$DG$78)))))*AF$7))/2000/AF$225*100</f>
        <v>22.430806901445248</v>
      </c>
      <c r="AG231" s="123">
        <f>(SUMPRODUCT(AG$8:AG$217,Nutrients!$DG$8:$DG$217)+(IF($A$6=Nutrients!$B$8,Nutrients!$DG$8,Nutrients!$DG$9)*AG$6)+(((IF($A$7=Nutrients!$B$79,Nutrients!$DG$79,(IF($A$7=Nutrients!$B$77,Nutrients!$DG$77,Nutrients!$DG$78)))))*AG$7))/2000/AG$225*100</f>
        <v>21.261047757059025</v>
      </c>
      <c r="AH231" s="123">
        <f>(SUMPRODUCT(AH$8:AH$217,Nutrients!$DG$8:$DG$217)+(IF($A$6=Nutrients!$B$8,Nutrients!$DG$8,Nutrients!$DG$9)*AH$6)+(((IF($A$7=Nutrients!$B$79,Nutrients!$DG$79,(IF($A$7=Nutrients!$B$77,Nutrients!$DG$77,Nutrients!$DG$78)))))*AH$7))/2000/AH$225*100</f>
        <v>20.347173425507254</v>
      </c>
      <c r="AI231" s="123">
        <f>(SUMPRODUCT(AI$8:AI$217,Nutrients!$DG$8:$DG$217)+(IF($A$6=Nutrients!$B$8,Nutrients!$DG$8,Nutrients!$DG$9)*AI$6)+(((IF($A$7=Nutrients!$B$79,Nutrients!$DG$79,(IF($A$7=Nutrients!$B$77,Nutrients!$DG$77,Nutrients!$DG$78)))))*AI$7))/2000/AI$225*100</f>
        <v>19.613499666374182</v>
      </c>
      <c r="AJ231" s="123">
        <f>(SUMPRODUCT(AJ$8:AJ$217,Nutrients!$DG$8:$DG$217)+(IF($A$6=Nutrients!$B$8,Nutrients!$DG$8,Nutrients!$DG$9)*AJ$6)+(((IF($A$7=Nutrients!$B$79,Nutrients!$DG$79,(IF($A$7=Nutrients!$B$77,Nutrients!$DG$77,Nutrients!$DG$78)))))*AJ$7))/2000/AJ$225*100</f>
        <v>19.056436461835663</v>
      </c>
      <c r="AK231" s="110"/>
      <c r="AL231" s="110"/>
    </row>
    <row r="232" spans="1:38" x14ac:dyDescent="0.15">
      <c r="A232" s="98" t="s">
        <v>379</v>
      </c>
      <c r="B232" s="110">
        <f>(SUMPRODUCT(B$8:B$217,Nutrients!$DH$8:$DH$217)+(IF($A$6=Nutrients!$B$8,Nutrients!$DH$8,Nutrients!$DH$9)*B$6)+(((IF($A$7=Nutrients!$B$79,Nutrients!$DH$79,(IF($A$7=Nutrients!$B$77,Nutrients!$DH$77,Nutrients!$DH$78)))))*B$7))/2000/B$225*100</f>
        <v>71.304193474850976</v>
      </c>
      <c r="C232" s="110">
        <f>(SUMPRODUCT(C$8:C$217,Nutrients!$DH$8:$DH$217)+(IF($A$6=Nutrients!$B$8,Nutrients!$DH$8,Nutrients!$DH$9)*C$6)+(((IF($A$7=Nutrients!$B$79,Nutrients!$DH$79,(IF($A$7=Nutrients!$B$77,Nutrients!$DH$77,Nutrients!$DH$78)))))*C$7))/2000/C$225*100</f>
        <v>69.742364146210207</v>
      </c>
      <c r="D232" s="110">
        <f>(SUMPRODUCT(D$8:D$217,Nutrients!$DH$8:$DH$217)+(IF($A$6=Nutrients!$B$8,Nutrients!$DH$8,Nutrients!$DH$9)*D$6)+(((IF($A$7=Nutrients!$B$79,Nutrients!$DH$79,(IF($A$7=Nutrients!$B$77,Nutrients!$DH$77,Nutrients!$DH$78)))))*D$7))/2000/D$225*100</f>
        <v>69.641588828284469</v>
      </c>
      <c r="E232" s="110">
        <f>(SUMPRODUCT(E$8:E$217,Nutrients!$DH$8:$DH$217)+(IF($A$6=Nutrients!$B$8,Nutrients!$DH$8,Nutrients!$DH$9)*E$6)+(((IF($A$7=Nutrients!$B$79,Nutrients!$DH$79,(IF($A$7=Nutrients!$B$77,Nutrients!$DH$77,Nutrients!$DH$78)))))*E$7))/2000/E$225*100</f>
        <v>69.930372813279234</v>
      </c>
      <c r="F232" s="110">
        <f>(SUMPRODUCT(F$8:F$217,Nutrients!$DH$8:$DH$217)+(IF($A$6=Nutrients!$B$8,Nutrients!$DH$8,Nutrients!$DH$9)*F$6)+(((IF($A$7=Nutrients!$B$79,Nutrients!$DH$79,(IF($A$7=Nutrients!$B$77,Nutrients!$DH$77,Nutrients!$DH$78)))))*F$7))/2000/F$225*100</f>
        <v>69.829217625190992</v>
      </c>
      <c r="G232" s="110">
        <f>(SUMPRODUCT(G$8:G$217,Nutrients!$DH$8:$DH$217)+(IF($A$6=Nutrients!$B$8,Nutrients!$DH$8,Nutrients!$DH$9)*G$6)+(((IF($A$7=Nutrients!$B$79,Nutrients!$DH$79,(IF($A$7=Nutrients!$B$77,Nutrients!$DH$77,Nutrients!$DH$78)))))*G$7))/2000/G$225*100</f>
        <v>70.395570547780395</v>
      </c>
      <c r="H232" s="434"/>
      <c r="I232" s="110">
        <f>(SUMPRODUCT(I$8:I$217,Nutrients!$DH$8:$DH$217)+(IF($A$6=Nutrients!$B$8,Nutrients!$DH$8,Nutrients!$DH$9)*I$6)+(((IF($A$7=Nutrients!$B$79,Nutrients!$DH$79,(IF($A$7=Nutrients!$B$77,Nutrients!$DH$77,Nutrients!$DH$78)))))*I$7))/2000/I$225*100</f>
        <v>72.134445183973625</v>
      </c>
      <c r="J232" s="110">
        <f>(SUMPRODUCT(J$8:J$217,Nutrients!$DH$8:$DH$217)+(IF($A$6=Nutrients!$B$8,Nutrients!$DH$8,Nutrients!$DH$9)*J$6)+(((IF($A$7=Nutrients!$B$79,Nutrients!$DH$79,(IF($A$7=Nutrients!$B$77,Nutrients!$DH$77,Nutrients!$DH$78)))))*J$7))/2000/J$225*100</f>
        <v>72.155596023116985</v>
      </c>
      <c r="K232" s="110">
        <f>(SUMPRODUCT(K$8:K$217,Nutrients!$DH$8:$DH$217)+(IF($A$6=Nutrients!$B$8,Nutrients!$DH$8,Nutrients!$DH$9)*K$6)+(((IF($A$7=Nutrients!$B$79,Nutrients!$DH$79,(IF($A$7=Nutrients!$B$77,Nutrients!$DH$77,Nutrients!$DH$78)))))*K$7))/2000/K$225*100</f>
        <v>72.161434127992209</v>
      </c>
      <c r="L232" s="110">
        <f>(SUMPRODUCT(L$8:L$217,Nutrients!$DH$8:$DH$217)+(IF($A$6=Nutrients!$B$8,Nutrients!$DH$8,Nutrients!$DH$9)*L$6)+(((IF($A$7=Nutrients!$B$79,Nutrients!$DH$79,(IF($A$7=Nutrients!$B$77,Nutrients!$DH$77,Nutrients!$DH$78)))))*L$7))/2000/L$225*100</f>
        <v>71.460527470039764</v>
      </c>
      <c r="M232" s="110">
        <f>(SUMPRODUCT(M$8:M$217,Nutrients!$DH$8:$DH$217)+(IF($A$6=Nutrients!$B$8,Nutrients!$DH$8,Nutrients!$DH$9)*M$6)+(((IF($A$7=Nutrients!$B$79,Nutrients!$DH$79,(IF($A$7=Nutrients!$B$77,Nutrients!$DH$77,Nutrients!$DH$78)))))*M$7))/2000/M$225*100</f>
        <v>71.51517931372409</v>
      </c>
      <c r="N232" s="110">
        <f>(SUMPRODUCT(N$8:N$217,Nutrients!$DH$8:$DH$217)+(IF($A$6=Nutrients!$B$8,Nutrients!$DH$8,Nutrients!$DH$9)*N$6)+(((IF($A$7=Nutrients!$B$79,Nutrients!$DH$79,(IF($A$7=Nutrients!$B$77,Nutrients!$DH$77,Nutrients!$DH$78)))))*N$7))/2000/N$225*100</f>
        <v>71.570402641191066</v>
      </c>
      <c r="O232" s="434"/>
      <c r="P232" s="110">
        <f>(SUMPRODUCT(P$8:P$217,Nutrients!$DH$8:$DH$217)+(IF($A$6=Nutrients!$B$8,Nutrients!$DH$8,Nutrients!$DH$9)*P$6)+(((IF($A$7=Nutrients!$B$79,Nutrients!$DH$79,(IF($A$7=Nutrients!$B$77,Nutrients!$DH$77,Nutrients!$DH$78)))))*P$7))/2000/P$225*100</f>
        <v>79.848265840902926</v>
      </c>
      <c r="Q232" s="110">
        <f>(SUMPRODUCT(Q$8:Q$217,Nutrients!$DH$8:$DH$217)+(IF($A$6=Nutrients!$B$8,Nutrients!$DH$8,Nutrients!$DH$9)*Q$6)+(((IF($A$7=Nutrients!$B$79,Nutrients!$DH$79,(IF($A$7=Nutrients!$B$77,Nutrients!$DH$77,Nutrients!$DH$78)))))*Q$7))/2000/Q$225*100</f>
        <v>78.452179221453349</v>
      </c>
      <c r="R232" s="110">
        <f>(SUMPRODUCT(R$8:R$217,Nutrients!$DH$8:$DH$217)+(IF($A$6=Nutrients!$B$8,Nutrients!$DH$8,Nutrients!$DH$9)*R$6)+(((IF($A$7=Nutrients!$B$79,Nutrients!$DH$79,(IF($A$7=Nutrients!$B$77,Nutrients!$DH$77,Nutrients!$DH$78)))))*R$7))/2000/R$225*100</f>
        <v>77.012390818252541</v>
      </c>
      <c r="S232" s="110">
        <f>(SUMPRODUCT(S$8:S$217,Nutrients!$DH$8:$DH$217)+(IF($A$6=Nutrients!$B$8,Nutrients!$DH$8,Nutrients!$DH$9)*S$6)+(((IF($A$7=Nutrients!$B$79,Nutrients!$DH$79,(IF($A$7=Nutrients!$B$77,Nutrients!$DH$77,Nutrients!$DH$78)))))*S$7))/2000/S$225*100</f>
        <v>76.074401150324434</v>
      </c>
      <c r="T232" s="110">
        <f>(SUMPRODUCT(T$8:T$217,Nutrients!$DH$8:$DH$217)+(IF($A$6=Nutrients!$B$8,Nutrients!$DH$8,Nutrients!$DH$9)*T$6)+(((IF($A$7=Nutrients!$B$79,Nutrients!$DH$79,(IF($A$7=Nutrients!$B$77,Nutrients!$DH$77,Nutrients!$DH$78)))))*T$7))/2000/T$225*100</f>
        <v>74.75981101042079</v>
      </c>
      <c r="U232" s="110">
        <f>(SUMPRODUCT(U$8:U$217,Nutrients!$DH$8:$DH$217)+(IF($A$6=Nutrients!$B$8,Nutrients!$DH$8,Nutrients!$DH$9)*U$6)+(((IF($A$7=Nutrients!$B$79,Nutrients!$DH$79,(IF($A$7=Nutrients!$B$77,Nutrients!$DH$77,Nutrients!$DH$78)))))*U$7))/2000/U$225*100</f>
        <v>75.113644133134642</v>
      </c>
      <c r="V232" s="434"/>
      <c r="W232" s="110">
        <f>(SUMPRODUCT(W$8:W$217,Nutrients!$DH$8:$DH$217)+(IF($A$6=Nutrients!$B$8,Nutrients!$DH$8,Nutrients!$DH$9)*W$6)+(((IF($A$7=Nutrients!$B$79,Nutrients!$DH$79,(IF($A$7=Nutrients!$B$77,Nutrients!$DH$77,Nutrients!$DH$78)))))*W$7))/2000/W$225*100</f>
        <v>82.413235437461125</v>
      </c>
      <c r="X232" s="110">
        <f>(SUMPRODUCT(X$8:X$217,Nutrients!$DH$8:$DH$217)+(IF($A$6=Nutrients!$B$8,Nutrients!$DH$8,Nutrients!$DH$9)*X$6)+(((IF($A$7=Nutrients!$B$79,Nutrients!$DH$79,(IF($A$7=Nutrients!$B$77,Nutrients!$DH$77,Nutrients!$DH$78)))))*X$7))/2000/X$225*100</f>
        <v>79.848265840902926</v>
      </c>
      <c r="Y232" s="110">
        <f>(SUMPRODUCT(Y$8:Y$217,Nutrients!$DH$8:$DH$217)+(IF($A$6=Nutrients!$B$8,Nutrients!$DH$8,Nutrients!$DH$9)*Y$6)+(((IF($A$7=Nutrients!$B$79,Nutrients!$DH$79,(IF($A$7=Nutrients!$B$77,Nutrients!$DH$77,Nutrients!$DH$78)))))*Y$7))/2000/Y$225*100</f>
        <v>78.452179221453349</v>
      </c>
      <c r="Z232" s="110">
        <f>(SUMPRODUCT(Z$8:Z$217,Nutrients!$DH$8:$DH$217)+(IF($A$6=Nutrients!$B$8,Nutrients!$DH$8,Nutrients!$DH$9)*Z$6)+(((IF($A$7=Nutrients!$B$79,Nutrients!$DH$79,(IF($A$7=Nutrients!$B$77,Nutrients!$DH$77,Nutrients!$DH$78)))))*Z$7))/2000/Z$225*100</f>
        <v>77.012390818252541</v>
      </c>
      <c r="AA232" s="110">
        <f>(SUMPRODUCT(AA$8:AA$217,Nutrients!$DH$8:$DH$217)+(IF($A$6=Nutrients!$B$8,Nutrients!$DH$8,Nutrients!$DH$9)*AA$6)+(((IF($A$7=Nutrients!$B$79,Nutrients!$DH$79,(IF($A$7=Nutrients!$B$77,Nutrients!$DH$77,Nutrients!$DH$78)))))*AA$7))/2000/AA$225*100</f>
        <v>76.074401150324434</v>
      </c>
      <c r="AB232" s="110">
        <f>(SUMPRODUCT(AB$8:AB$217,Nutrients!$DH$8:$DH$217)+(IF($A$6=Nutrients!$B$8,Nutrients!$DH$8,Nutrients!$DH$9)*AB$6)+(((IF($A$7=Nutrients!$B$79,Nutrients!$DH$79,(IF($A$7=Nutrients!$B$77,Nutrients!$DH$77,Nutrients!$DH$78)))))*AB$7))/2000/AB$225*100</f>
        <v>74.75981101042079</v>
      </c>
      <c r="AC232" s="110">
        <f>(SUMPRODUCT(AC$8:AC$217,Nutrients!$DH$8:$DH$217)+(IF($A$6=Nutrients!$B$8,Nutrients!$DH$8,Nutrients!$DH$9)*AC$6)+(((IF($A$7=Nutrients!$B$79,Nutrients!$DH$79,(IF($A$7=Nutrients!$B$77,Nutrients!$DH$77,Nutrients!$DH$78)))))*AC$7))/2000/AC$225*100</f>
        <v>75.113644133134642</v>
      </c>
      <c r="AD232" s="434"/>
      <c r="AE232" s="110">
        <f>(SUMPRODUCT(AE$8:AE$217,Nutrients!$DH$8:$DH$217)+(IF($A$6=Nutrients!$B$8,Nutrients!$DH$8,Nutrients!$DH$9)*AE$6)+(((IF($A$7=Nutrients!$B$79,Nutrients!$DH$79,(IF($A$7=Nutrients!$B$77,Nutrients!$DH$77,Nutrients!$DH$78)))))*AE$7))/2000/AE$225*100</f>
        <v>109.27189637044475</v>
      </c>
      <c r="AF232" s="110">
        <f>(SUMPRODUCT(AF$8:AF$217,Nutrients!$DH$8:$DH$217)+(IF($A$6=Nutrients!$B$8,Nutrients!$DH$8,Nutrients!$DH$9)*AF$6)+(((IF($A$7=Nutrients!$B$79,Nutrients!$DH$79,(IF($A$7=Nutrients!$B$77,Nutrients!$DH$77,Nutrients!$DH$78)))))*AF$7))/2000/AF$225*100</f>
        <v>97.695648350567467</v>
      </c>
      <c r="AG232" s="110">
        <f>(SUMPRODUCT(AG$8:AG$217,Nutrients!$DH$8:$DH$217)+(IF($A$6=Nutrients!$B$8,Nutrients!$DH$8,Nutrients!$DH$9)*AG$6)+(((IF($A$7=Nutrients!$B$79,Nutrients!$DH$79,(IF($A$7=Nutrients!$B$77,Nutrients!$DH$77,Nutrients!$DH$78)))))*AG$7))/2000/AG$225*100</f>
        <v>88.962689318028509</v>
      </c>
      <c r="AH232" s="110">
        <f>(SUMPRODUCT(AH$8:AH$217,Nutrients!$DH$8:$DH$217)+(IF($A$6=Nutrients!$B$8,Nutrients!$DH$8,Nutrients!$DH$9)*AH$6)+(((IF($A$7=Nutrients!$B$79,Nutrients!$DH$79,(IF($A$7=Nutrients!$B$77,Nutrients!$DH$77,Nutrients!$DH$78)))))*AH$7))/2000/AH$225*100</f>
        <v>82.140065073857343</v>
      </c>
      <c r="AI232" s="110">
        <f>(SUMPRODUCT(AI$8:AI$217,Nutrients!$DH$8:$DH$217)+(IF($A$6=Nutrients!$B$8,Nutrients!$DH$8,Nutrients!$DH$9)*AI$6)+(((IF($A$7=Nutrients!$B$79,Nutrients!$DH$79,(IF($A$7=Nutrients!$B$77,Nutrients!$DH$77,Nutrients!$DH$78)))))*AI$7))/2000/AI$225*100</f>
        <v>76.662747018677777</v>
      </c>
      <c r="AJ232" s="110">
        <f>(SUMPRODUCT(AJ$8:AJ$217,Nutrients!$DH$8:$DH$217)+(IF($A$6=Nutrients!$B$8,Nutrients!$DH$8,Nutrients!$DH$9)*AJ$6)+(((IF($A$7=Nutrients!$B$79,Nutrients!$DH$79,(IF($A$7=Nutrients!$B$77,Nutrients!$DH$77,Nutrients!$DH$78)))))*AJ$7))/2000/AJ$225*100</f>
        <v>72.096602302346341</v>
      </c>
      <c r="AK232" s="110"/>
      <c r="AL232" s="110"/>
    </row>
    <row r="233" spans="1:38" x14ac:dyDescent="0.15">
      <c r="A233" s="98" t="s">
        <v>386</v>
      </c>
      <c r="B233" s="110">
        <f>(SUMPRODUCT(B$8:B$217,Nutrients!$CX$8:$CX$217)+(IF($A$6=Nutrients!$B$8,Nutrients!$CX$8,Nutrients!$CX$9)*B$6)+(((IF($A$7=Nutrients!$B$79,Nutrients!$CX$79,(IF($A$7=Nutrients!$B$77,Nutrients!$CX$77,Nutrients!$CX$78)))))*B$7))/2000/B$225*100</f>
        <v>43.322963720747943</v>
      </c>
      <c r="C233" s="110">
        <f>(SUMPRODUCT(C$8:C$217,Nutrients!$CX$8:$CX$217)+(IF($A$6=Nutrients!$B$8,Nutrients!$CX$8,Nutrients!$CX$9)*C$6)+(((IF($A$7=Nutrients!$B$79,Nutrients!$CX$79,(IF($A$7=Nutrients!$B$77,Nutrients!$CX$77,Nutrients!$CX$78)))))*C$7))/2000/C$225*100</f>
        <v>41.488183931649317</v>
      </c>
      <c r="D233" s="110">
        <f>(SUMPRODUCT(D$8:D$217,Nutrients!$CX$8:$CX$217)+(IF($A$6=Nutrients!$B$8,Nutrients!$CX$8,Nutrients!$CX$9)*D$6)+(((IF($A$7=Nutrients!$B$79,Nutrients!$CX$79,(IF($A$7=Nutrients!$B$77,Nutrients!$CX$77,Nutrients!$CX$78)))))*D$7))/2000/D$225*100</f>
        <v>39.955489716665305</v>
      </c>
      <c r="E233" s="110">
        <f>(SUMPRODUCT(E$8:E$217,Nutrients!$CX$8:$CX$217)+(IF($A$6=Nutrients!$B$8,Nutrients!$CX$8,Nutrients!$CX$9)*E$6)+(((IF($A$7=Nutrients!$B$79,Nutrients!$CX$79,(IF($A$7=Nutrients!$B$77,Nutrients!$CX$77,Nutrients!$CX$78)))))*E$7))/2000/E$225*100</f>
        <v>38.660552092506173</v>
      </c>
      <c r="F233" s="110">
        <f>(SUMPRODUCT(F$8:F$217,Nutrients!$CX$8:$CX$217)+(IF($A$6=Nutrients!$B$8,Nutrients!$CX$8,Nutrients!$CX$9)*F$6)+(((IF($A$7=Nutrients!$B$79,Nutrients!$CX$79,(IF($A$7=Nutrients!$B$77,Nutrients!$CX$77,Nutrients!$CX$78)))))*F$7))/2000/F$225*100</f>
        <v>37.547879066360274</v>
      </c>
      <c r="G233" s="110">
        <f>(SUMPRODUCT(G$8:G$217,Nutrients!$CX$8:$CX$217)+(IF($A$6=Nutrients!$B$8,Nutrients!$CX$8,Nutrients!$CX$9)*G$6)+(((IF($A$7=Nutrients!$B$79,Nutrients!$CX$79,(IF($A$7=Nutrients!$B$77,Nutrients!$CX$77,Nutrients!$CX$78)))))*G$7))/2000/G$225*100</f>
        <v>36.590772498081165</v>
      </c>
      <c r="H233" s="434"/>
      <c r="I233" s="110">
        <f>(SUMPRODUCT(I$8:I$217,Nutrients!$CX$8:$CX$217)+(IF($A$6=Nutrients!$B$8,Nutrients!$CX$8,Nutrients!$CX$9)*I$6)+(((IF($A$7=Nutrients!$B$79,Nutrients!$CX$79,(IF($A$7=Nutrients!$B$77,Nutrients!$CX$77,Nutrients!$CX$78)))))*I$7))/2000/I$225*100</f>
        <v>43.509149145096771</v>
      </c>
      <c r="J233" s="110">
        <f>(SUMPRODUCT(J$8:J$217,Nutrients!$CX$8:$CX$217)+(IF($A$6=Nutrients!$B$8,Nutrients!$CX$8,Nutrients!$CX$9)*J$6)+(((IF($A$7=Nutrients!$B$79,Nutrients!$CX$79,(IF($A$7=Nutrients!$B$77,Nutrients!$CX$77,Nutrients!$CX$78)))))*J$7))/2000/J$225*100</f>
        <v>42.764303743996678</v>
      </c>
      <c r="K233" s="110">
        <f>(SUMPRODUCT(K$8:K$217,Nutrients!$CX$8:$CX$217)+(IF($A$6=Nutrients!$B$8,Nutrients!$CX$8,Nutrients!$CX$9)*K$6)+(((IF($A$7=Nutrients!$B$79,Nutrients!$CX$79,(IF($A$7=Nutrients!$B$77,Nutrients!$CX$77,Nutrients!$CX$78)))))*K$7))/2000/K$225*100</f>
        <v>42.135646977218904</v>
      </c>
      <c r="L233" s="110">
        <f>(SUMPRODUCT(L$8:L$217,Nutrients!$CX$8:$CX$217)+(IF($A$6=Nutrients!$B$8,Nutrients!$CX$8,Nutrients!$CX$9)*L$6)+(((IF($A$7=Nutrients!$B$79,Nutrients!$CX$79,(IF($A$7=Nutrients!$B$77,Nutrients!$CX$77,Nutrients!$CX$78)))))*L$7))/2000/L$225*100</f>
        <v>41.463066890101821</v>
      </c>
      <c r="M233" s="110">
        <f>(SUMPRODUCT(M$8:M$217,Nutrients!$CX$8:$CX$217)+(IF($A$6=Nutrients!$B$8,Nutrients!$CX$8,Nutrients!$CX$9)*M$6)+(((IF($A$7=Nutrients!$B$79,Nutrients!$CX$79,(IF($A$7=Nutrients!$B$77,Nutrients!$CX$77,Nutrients!$CX$78)))))*M$7))/2000/M$225*100</f>
        <v>41.017163722427661</v>
      </c>
      <c r="N233" s="110">
        <f>(SUMPRODUCT(N$8:N$217,Nutrients!$CX$8:$CX$217)+(IF($A$6=Nutrients!$B$8,Nutrients!$CX$8,Nutrients!$CX$9)*N$6)+(((IF($A$7=Nutrients!$B$79,Nutrients!$CX$79,(IF($A$7=Nutrients!$B$77,Nutrients!$CX$77,Nutrients!$CX$78)))))*N$7))/2000/N$225*100</f>
        <v>40.636015821017409</v>
      </c>
      <c r="O233" s="434"/>
      <c r="P233" s="110">
        <f>(SUMPRODUCT(P$8:P$217,Nutrients!$CX$8:$CX$217)+(IF($A$6=Nutrients!$B$8,Nutrients!$CX$8,Nutrients!$CX$9)*P$6)+(((IF($A$7=Nutrients!$B$79,Nutrients!$CX$79,(IF($A$7=Nutrients!$B$77,Nutrients!$CX$77,Nutrients!$CX$78)))))*P$7))/2000/P$225*100</f>
        <v>48.784763150485837</v>
      </c>
      <c r="Q233" s="110">
        <f>(SUMPRODUCT(Q$8:Q$217,Nutrients!$CX$8:$CX$217)+(IF($A$6=Nutrients!$B$8,Nutrients!$CX$8,Nutrients!$CX$9)*Q$6)+(((IF($A$7=Nutrients!$B$79,Nutrients!$CX$79,(IF($A$7=Nutrients!$B$77,Nutrients!$CX$77,Nutrients!$CX$78)))))*Q$7))/2000/Q$225*100</f>
        <v>46.984409152717689</v>
      </c>
      <c r="R233" s="110">
        <f>(SUMPRODUCT(R$8:R$217,Nutrients!$CX$8:$CX$217)+(IF($A$6=Nutrients!$B$8,Nutrients!$CX$8,Nutrients!$CX$9)*R$6)+(((IF($A$7=Nutrients!$B$79,Nutrients!$CX$79,(IF($A$7=Nutrients!$B$77,Nutrients!$CX$77,Nutrients!$CX$78)))))*R$7))/2000/R$225*100</f>
        <v>45.689056517979594</v>
      </c>
      <c r="S233" s="110">
        <f>(SUMPRODUCT(S$8:S$217,Nutrients!$CX$8:$CX$217)+(IF($A$6=Nutrients!$B$8,Nutrients!$CX$8,Nutrients!$CX$9)*S$6)+(((IF($A$7=Nutrients!$B$79,Nutrients!$CX$79,(IF($A$7=Nutrients!$B$77,Nutrients!$CX$77,Nutrients!$CX$78)))))*S$7))/2000/S$225*100</f>
        <v>44.433759524819571</v>
      </c>
      <c r="T233" s="110">
        <f>(SUMPRODUCT(T$8:T$217,Nutrients!$CX$8:$CX$217)+(IF($A$6=Nutrients!$B$8,Nutrients!$CX$8,Nutrients!$CX$9)*T$6)+(((IF($A$7=Nutrients!$B$79,Nutrients!$CX$79,(IF($A$7=Nutrients!$B$77,Nutrients!$CX$77,Nutrients!$CX$78)))))*T$7))/2000/T$225*100</f>
        <v>43.368116037370577</v>
      </c>
      <c r="U233" s="110">
        <f>(SUMPRODUCT(U$8:U$217,Nutrients!$CX$8:$CX$217)+(IF($A$6=Nutrients!$B$8,Nutrients!$CX$8,Nutrients!$CX$9)*U$6)+(((IF($A$7=Nutrients!$B$79,Nutrients!$CX$79,(IF($A$7=Nutrients!$B$77,Nutrients!$CX$77,Nutrients!$CX$78)))))*U$7))/2000/U$225*100</f>
        <v>42.755135627663925</v>
      </c>
      <c r="V233" s="434"/>
      <c r="W233" s="110">
        <f>(SUMPRODUCT(W$8:W$217,Nutrients!$CX$8:$CX$217)+(IF($A$6=Nutrients!$B$8,Nutrients!$CX$8,Nutrients!$CX$9)*W$6)+(((IF($A$7=Nutrients!$B$79,Nutrients!$CX$79,(IF($A$7=Nutrients!$B$77,Nutrients!$CX$77,Nutrients!$CX$78)))))*W$7))/2000/W$225*100</f>
        <v>51.019685354611845</v>
      </c>
      <c r="X233" s="110">
        <f>(SUMPRODUCT(X$8:X$217,Nutrients!$CX$8:$CX$217)+(IF($A$6=Nutrients!$B$8,Nutrients!$CX$8,Nutrients!$CX$9)*X$6)+(((IF($A$7=Nutrients!$B$79,Nutrients!$CX$79,(IF($A$7=Nutrients!$B$77,Nutrients!$CX$77,Nutrients!$CX$78)))))*X$7))/2000/X$225*100</f>
        <v>48.784763150485837</v>
      </c>
      <c r="Y233" s="110">
        <f>(SUMPRODUCT(Y$8:Y$217,Nutrients!$CX$8:$CX$217)+(IF($A$6=Nutrients!$B$8,Nutrients!$CX$8,Nutrients!$CX$9)*Y$6)+(((IF($A$7=Nutrients!$B$79,Nutrients!$CX$79,(IF($A$7=Nutrients!$B$77,Nutrients!$CX$77,Nutrients!$CX$78)))))*Y$7))/2000/Y$225*100</f>
        <v>46.984409152717689</v>
      </c>
      <c r="Z233" s="110">
        <f>(SUMPRODUCT(Z$8:Z$217,Nutrients!$CX$8:$CX$217)+(IF($A$6=Nutrients!$B$8,Nutrients!$CX$8,Nutrients!$CX$9)*Z$6)+(((IF($A$7=Nutrients!$B$79,Nutrients!$CX$79,(IF($A$7=Nutrients!$B$77,Nutrients!$CX$77,Nutrients!$CX$78)))))*Z$7))/2000/Z$225*100</f>
        <v>45.689056517979594</v>
      </c>
      <c r="AA233" s="110">
        <f>(SUMPRODUCT(AA$8:AA$217,Nutrients!$CX$8:$CX$217)+(IF($A$6=Nutrients!$B$8,Nutrients!$CX$8,Nutrients!$CX$9)*AA$6)+(((IF($A$7=Nutrients!$B$79,Nutrients!$CX$79,(IF($A$7=Nutrients!$B$77,Nutrients!$CX$77,Nutrients!$CX$78)))))*AA$7))/2000/AA$225*100</f>
        <v>44.433759524819571</v>
      </c>
      <c r="AB233" s="110">
        <f>(SUMPRODUCT(AB$8:AB$217,Nutrients!$CX$8:$CX$217)+(IF($A$6=Nutrients!$B$8,Nutrients!$CX$8,Nutrients!$CX$9)*AB$6)+(((IF($A$7=Nutrients!$B$79,Nutrients!$CX$79,(IF($A$7=Nutrients!$B$77,Nutrients!$CX$77,Nutrients!$CX$78)))))*AB$7))/2000/AB$225*100</f>
        <v>43.368116037370577</v>
      </c>
      <c r="AC233" s="110">
        <f>(SUMPRODUCT(AC$8:AC$217,Nutrients!$CX$8:$CX$217)+(IF($A$6=Nutrients!$B$8,Nutrients!$CX$8,Nutrients!$CX$9)*AC$6)+(((IF($A$7=Nutrients!$B$79,Nutrients!$CX$79,(IF($A$7=Nutrients!$B$77,Nutrients!$CX$77,Nutrients!$CX$78)))))*AC$7))/2000/AC$225*100</f>
        <v>42.755135627663925</v>
      </c>
      <c r="AD233" s="434"/>
      <c r="AE233" s="110">
        <f>(SUMPRODUCT(AE$8:AE$217,Nutrients!$CX$8:$CX$217)+(IF($A$6=Nutrients!$B$8,Nutrients!$CX$8,Nutrients!$CX$9)*AE$6)+(((IF($A$7=Nutrients!$B$79,Nutrients!$CX$79,(IF($A$7=Nutrients!$B$77,Nutrients!$CX$77,Nutrients!$CX$78)))))*AE$7))/2000/AE$225*100</f>
        <v>67.764197994383039</v>
      </c>
      <c r="AF233" s="110">
        <f>(SUMPRODUCT(AF$8:AF$217,Nutrients!$CX$8:$CX$217)+(IF($A$6=Nutrients!$B$8,Nutrients!$CX$8,Nutrients!$CX$9)*AF$6)+(((IF($A$7=Nutrients!$B$79,Nutrients!$CX$79,(IF($A$7=Nutrients!$B$77,Nutrients!$CX$77,Nutrients!$CX$78)))))*AF$7))/2000/AF$225*100</f>
        <v>59.996700175781811</v>
      </c>
      <c r="AG233" s="110">
        <f>(SUMPRODUCT(AG$8:AG$217,Nutrients!$CX$8:$CX$217)+(IF($A$6=Nutrients!$B$8,Nutrients!$CX$8,Nutrients!$CX$9)*AG$6)+(((IF($A$7=Nutrients!$B$79,Nutrients!$CX$79,(IF($A$7=Nutrients!$B$77,Nutrients!$CX$77,Nutrients!$CX$78)))))*AG$7))/2000/AG$225*100</f>
        <v>54.137008838942322</v>
      </c>
      <c r="AH233" s="110">
        <f>(SUMPRODUCT(AH$8:AH$217,Nutrients!$CX$8:$CX$217)+(IF($A$6=Nutrients!$B$8,Nutrients!$CX$8,Nutrients!$CX$9)*AH$6)+(((IF($A$7=Nutrients!$B$79,Nutrients!$CX$79,(IF($A$7=Nutrients!$B$77,Nutrients!$CX$77,Nutrients!$CX$78)))))*AH$7))/2000/AH$225*100</f>
        <v>49.559124982036394</v>
      </c>
      <c r="AI233" s="110">
        <f>(SUMPRODUCT(AI$8:AI$217,Nutrients!$CX$8:$CX$217)+(IF($A$6=Nutrients!$B$8,Nutrients!$CX$8,Nutrients!$CX$9)*AI$6)+(((IF($A$7=Nutrients!$B$79,Nutrients!$CX$79,(IF($A$7=Nutrients!$B$77,Nutrients!$CX$77,Nutrients!$CX$78)))))*AI$7))/2000/AI$225*100</f>
        <v>45.88392244902748</v>
      </c>
      <c r="AJ233" s="110">
        <f>(SUMPRODUCT(AJ$8:AJ$217,Nutrients!$CX$8:$CX$217)+(IF($A$6=Nutrients!$B$8,Nutrients!$CX$8,Nutrients!$CX$9)*AJ$6)+(((IF($A$7=Nutrients!$B$79,Nutrients!$CX$79,(IF($A$7=Nutrients!$B$77,Nutrients!$CX$77,Nutrients!$CX$78)))))*AJ$7))/2000/AJ$225*100</f>
        <v>42.818130521450371</v>
      </c>
      <c r="AK233" s="110"/>
      <c r="AL233" s="110"/>
    </row>
    <row r="234" spans="1:38" x14ac:dyDescent="0.15">
      <c r="A234" s="98" t="s">
        <v>399</v>
      </c>
      <c r="B234" s="110">
        <f>(SUMPRODUCT(B$8:B$217,Nutrients!$CW$8:$CW$217)+(IF($A$6=Nutrients!$B$8,Nutrients!$CW$8,Nutrients!$CW$9)*B$6)+(((IF($A$7=Nutrients!$B$79,Nutrients!$CW$79,(IF($A$7=Nutrients!$B$77,Nutrients!$CW$77,Nutrients!$CW$78)))))*B$7))/2000/B$225*100</f>
        <v>105.38443451792274</v>
      </c>
      <c r="C234" s="110">
        <f>(SUMPRODUCT(C$8:C$217,Nutrients!$CW$8:$CW$217)+(IF($A$6=Nutrients!$B$8,Nutrients!$CW$8,Nutrients!$CW$9)*C$6)+(((IF($A$7=Nutrients!$B$79,Nutrients!$CW$79,(IF($A$7=Nutrients!$B$77,Nutrients!$CW$77,Nutrients!$CW$78)))))*C$7))/2000/C$225*100</f>
        <v>102.34274815568935</v>
      </c>
      <c r="D234" s="110">
        <f>(SUMPRODUCT(D$8:D$217,Nutrients!$CW$8:$CW$217)+(IF($A$6=Nutrients!$B$8,Nutrients!$CW$8,Nutrients!$CW$9)*D$6)+(((IF($A$7=Nutrients!$B$79,Nutrients!$CW$79,(IF($A$7=Nutrients!$B$77,Nutrients!$CW$77,Nutrients!$CW$78)))))*D$7))/2000/D$225*100</f>
        <v>99.80505572140116</v>
      </c>
      <c r="E234" s="110">
        <f>(SUMPRODUCT(E$8:E$217,Nutrients!$CW$8:$CW$217)+(IF($A$6=Nutrients!$B$8,Nutrients!$CW$8,Nutrients!$CW$9)*E$6)+(((IF($A$7=Nutrients!$B$79,Nutrients!$CW$79,(IF($A$7=Nutrients!$B$77,Nutrients!$CW$77,Nutrients!$CW$78)))))*E$7))/2000/E$225*100</f>
        <v>97.659335555646294</v>
      </c>
      <c r="F234" s="110">
        <f>(SUMPRODUCT(F$8:F$217,Nutrients!$CW$8:$CW$217)+(IF($A$6=Nutrients!$B$8,Nutrients!$CW$8,Nutrients!$CW$9)*F$6)+(((IF($A$7=Nutrients!$B$79,Nutrients!$CW$79,(IF($A$7=Nutrients!$B$77,Nutrients!$CW$77,Nutrients!$CW$78)))))*F$7))/2000/F$225*100</f>
        <v>95.817976704032461</v>
      </c>
      <c r="G234" s="110">
        <f>(SUMPRODUCT(G$8:G$217,Nutrients!$CW$8:$CW$217)+(IF($A$6=Nutrients!$B$8,Nutrients!$CW$8,Nutrients!$CW$9)*G$6)+(((IF($A$7=Nutrients!$B$79,Nutrients!$CW$79,(IF($A$7=Nutrients!$B$77,Nutrients!$CW$77,Nutrients!$CW$78)))))*G$7))/2000/G$225*100</f>
        <v>94.227871175634846</v>
      </c>
      <c r="H234" s="434"/>
      <c r="I234" s="110">
        <f>(SUMPRODUCT(I$8:I$217,Nutrients!$CW$8:$CW$217)+(IF($A$6=Nutrients!$B$8,Nutrients!$CW$8,Nutrients!$CW$9)*I$6)+(((IF($A$7=Nutrients!$B$79,Nutrients!$CW$79,(IF($A$7=Nutrients!$B$77,Nutrients!$CW$77,Nutrients!$CW$78)))))*I$7))/2000/I$225*100</f>
        <v>99.009757958377591</v>
      </c>
      <c r="J234" s="110">
        <f>(SUMPRODUCT(J$8:J$217,Nutrients!$CW$8:$CW$217)+(IF($A$6=Nutrients!$B$8,Nutrients!$CW$8,Nutrients!$CW$9)*J$6)+(((IF($A$7=Nutrients!$B$79,Nutrients!$CW$79,(IF($A$7=Nutrients!$B$77,Nutrients!$CW$77,Nutrients!$CW$78)))))*J$7))/2000/J$225*100</f>
        <v>99.800540771933058</v>
      </c>
      <c r="K234" s="110">
        <f>(SUMPRODUCT(K$8:K$217,Nutrients!$CW$8:$CW$217)+(IF($A$6=Nutrients!$B$8,Nutrients!$CW$8,Nutrients!$CW$9)*K$6)+(((IF($A$7=Nutrients!$B$79,Nutrients!$CW$79,(IF($A$7=Nutrients!$B$77,Nutrients!$CW$77,Nutrients!$CW$78)))))*K$7))/2000/K$225*100</f>
        <v>100.45319688040945</v>
      </c>
      <c r="L234" s="110">
        <f>(SUMPRODUCT(L$8:L$217,Nutrients!$CW$8:$CW$217)+(IF($A$6=Nutrients!$B$8,Nutrients!$CW$8,Nutrients!$CW$9)*L$6)+(((IF($A$7=Nutrients!$B$79,Nutrients!$CW$79,(IF($A$7=Nutrients!$B$77,Nutrients!$CW$77,Nutrients!$CW$78)))))*L$7))/2000/L$225*100</f>
        <v>100.55899664347943</v>
      </c>
      <c r="M234" s="110">
        <f>(SUMPRODUCT(M$8:M$217,Nutrients!$CW$8:$CW$217)+(IF($A$6=Nutrients!$B$8,Nutrients!$CW$8,Nutrients!$CW$9)*M$6)+(((IF($A$7=Nutrients!$B$79,Nutrients!$CW$79,(IF($A$7=Nutrients!$B$77,Nutrients!$CW$77,Nutrients!$CW$78)))))*M$7))/2000/M$225*100</f>
        <v>101.06424074563454</v>
      </c>
      <c r="N234" s="110">
        <f>(SUMPRODUCT(N$8:N$217,Nutrients!$CW$8:$CW$217)+(IF($A$6=Nutrients!$B$8,Nutrients!$CW$8,Nutrients!$CW$9)*N$6)+(((IF($A$7=Nutrients!$B$79,Nutrients!$CW$79,(IF($A$7=Nutrients!$B$77,Nutrients!$CW$77,Nutrients!$CW$78)))))*N$7))/2000/N$225*100</f>
        <v>101.50633868049322</v>
      </c>
      <c r="O234" s="434"/>
      <c r="P234" s="110">
        <f>(SUMPRODUCT(P$8:P$217,Nutrients!$CW$8:$CW$217)+(IF($A$6=Nutrients!$B$8,Nutrients!$CW$8,Nutrients!$CW$9)*P$6)+(((IF($A$7=Nutrients!$B$79,Nutrients!$CW$79,(IF($A$7=Nutrients!$B$77,Nutrients!$CW$77,Nutrients!$CW$78)))))*P$7))/2000/P$225*100</f>
        <v>106.78807453670916</v>
      </c>
      <c r="Q234" s="110">
        <f>(SUMPRODUCT(Q$8:Q$217,Nutrients!$CW$8:$CW$217)+(IF($A$6=Nutrients!$B$8,Nutrients!$CW$8,Nutrients!$CW$9)*Q$6)+(((IF($A$7=Nutrients!$B$79,Nutrients!$CW$79,(IF($A$7=Nutrients!$B$77,Nutrients!$CW$77,Nutrients!$CW$78)))))*Q$7))/2000/Q$225*100</f>
        <v>105.39969186188456</v>
      </c>
      <c r="R234" s="110">
        <f>(SUMPRODUCT(R$8:R$217,Nutrients!$CW$8:$CW$217)+(IF($A$6=Nutrients!$B$8,Nutrients!$CW$8,Nutrients!$CW$9)*R$6)+(((IF($A$7=Nutrients!$B$79,Nutrients!$CW$79,(IF($A$7=Nutrients!$B$77,Nutrients!$CW$77,Nutrients!$CW$78)))))*R$7))/2000/R$225*100</f>
        <v>104.84572129073197</v>
      </c>
      <c r="S234" s="110">
        <f>(SUMPRODUCT(S$8:S$217,Nutrients!$CW$8:$CW$217)+(IF($A$6=Nutrients!$B$8,Nutrients!$CW$8,Nutrients!$CW$9)*S$6)+(((IF($A$7=Nutrients!$B$79,Nutrients!$CW$79,(IF($A$7=Nutrients!$B$77,Nutrients!$CW$77,Nutrients!$CW$78)))))*S$7))/2000/S$225*100</f>
        <v>103.84145292020261</v>
      </c>
      <c r="T234" s="110">
        <f>(SUMPRODUCT(T$8:T$217,Nutrients!$CW$8:$CW$217)+(IF($A$6=Nutrients!$B$8,Nutrients!$CW$8,Nutrients!$CW$9)*T$6)+(((IF($A$7=Nutrients!$B$79,Nutrients!$CW$79,(IF($A$7=Nutrients!$B$77,Nutrients!$CW$77,Nutrients!$CW$78)))))*T$7))/2000/T$225*100</f>
        <v>102.98890921357963</v>
      </c>
      <c r="U234" s="110">
        <f>(SUMPRODUCT(U$8:U$217,Nutrients!$CW$8:$CW$217)+(IF($A$6=Nutrients!$B$8,Nutrients!$CW$8,Nutrients!$CW$9)*U$6)+(((IF($A$7=Nutrients!$B$79,Nutrients!$CW$79,(IF($A$7=Nutrients!$B$77,Nutrients!$CW$77,Nutrients!$CW$78)))))*U$7))/2000/U$225*100</f>
        <v>103.19304235723035</v>
      </c>
      <c r="V234" s="434"/>
      <c r="W234" s="110">
        <f>(SUMPRODUCT(W$8:W$217,Nutrients!$CW$8:$CW$217)+(IF($A$6=Nutrients!$B$8,Nutrients!$CW$8,Nutrients!$CW$9)*W$6)+(((IF($A$7=Nutrients!$B$79,Nutrients!$CW$79,(IF($A$7=Nutrients!$B$77,Nutrients!$CW$77,Nutrients!$CW$78)))))*W$7))/2000/W$225*100</f>
        <v>108.51158406407765</v>
      </c>
      <c r="X234" s="110">
        <f>(SUMPRODUCT(X$8:X$217,Nutrients!$CW$8:$CW$217)+(IF($A$6=Nutrients!$B$8,Nutrients!$CW$8,Nutrients!$CW$9)*X$6)+(((IF($A$7=Nutrients!$B$79,Nutrients!$CW$79,(IF($A$7=Nutrients!$B$77,Nutrients!$CW$77,Nutrients!$CW$78)))))*X$7))/2000/X$225*100</f>
        <v>106.78807453670916</v>
      </c>
      <c r="Y234" s="110">
        <f>(SUMPRODUCT(Y$8:Y$217,Nutrients!$CW$8:$CW$217)+(IF($A$6=Nutrients!$B$8,Nutrients!$CW$8,Nutrients!$CW$9)*Y$6)+(((IF($A$7=Nutrients!$B$79,Nutrients!$CW$79,(IF($A$7=Nutrients!$B$77,Nutrients!$CW$77,Nutrients!$CW$78)))))*Y$7))/2000/Y$225*100</f>
        <v>105.39969186188456</v>
      </c>
      <c r="Z234" s="110">
        <f>(SUMPRODUCT(Z$8:Z$217,Nutrients!$CW$8:$CW$217)+(IF($A$6=Nutrients!$B$8,Nutrients!$CW$8,Nutrients!$CW$9)*Z$6)+(((IF($A$7=Nutrients!$B$79,Nutrients!$CW$79,(IF($A$7=Nutrients!$B$77,Nutrients!$CW$77,Nutrients!$CW$78)))))*Z$7))/2000/Z$225*100</f>
        <v>104.84572129073197</v>
      </c>
      <c r="AA234" s="110">
        <f>(SUMPRODUCT(AA$8:AA$217,Nutrients!$CW$8:$CW$217)+(IF($A$6=Nutrients!$B$8,Nutrients!$CW$8,Nutrients!$CW$9)*AA$6)+(((IF($A$7=Nutrients!$B$79,Nutrients!$CW$79,(IF($A$7=Nutrients!$B$77,Nutrients!$CW$77,Nutrients!$CW$78)))))*AA$7))/2000/AA$225*100</f>
        <v>103.84145292020261</v>
      </c>
      <c r="AB234" s="110">
        <f>(SUMPRODUCT(AB$8:AB$217,Nutrients!$CW$8:$CW$217)+(IF($A$6=Nutrients!$B$8,Nutrients!$CW$8,Nutrients!$CW$9)*AB$6)+(((IF($A$7=Nutrients!$B$79,Nutrients!$CW$79,(IF($A$7=Nutrients!$B$77,Nutrients!$CW$77,Nutrients!$CW$78)))))*AB$7))/2000/AB$225*100</f>
        <v>102.98890921357963</v>
      </c>
      <c r="AC234" s="110">
        <f>(SUMPRODUCT(AC$8:AC$217,Nutrients!$CW$8:$CW$217)+(IF($A$6=Nutrients!$B$8,Nutrients!$CW$8,Nutrients!$CW$9)*AC$6)+(((IF($A$7=Nutrients!$B$79,Nutrients!$CW$79,(IF($A$7=Nutrients!$B$77,Nutrients!$CW$77,Nutrients!$CW$78)))))*AC$7))/2000/AC$225*100</f>
        <v>103.19304235723035</v>
      </c>
      <c r="AD234" s="434"/>
      <c r="AE234" s="110">
        <f>(SUMPRODUCT(AE$8:AE$217,Nutrients!$CW$8:$CW$217)+(IF($A$6=Nutrients!$B$8,Nutrients!$CW$8,Nutrients!$CW$9)*AE$6)+(((IF($A$7=Nutrients!$B$79,Nutrients!$CW$79,(IF($A$7=Nutrients!$B$77,Nutrients!$CW$77,Nutrients!$CW$78)))))*AE$7))/2000/AE$225*100</f>
        <v>142.23264265762282</v>
      </c>
      <c r="AF234" s="110">
        <f>(SUMPRODUCT(AF$8:AF$217,Nutrients!$CW$8:$CW$217)+(IF($A$6=Nutrients!$B$8,Nutrients!$CW$8,Nutrients!$CW$9)*AF$6)+(((IF($A$7=Nutrients!$B$79,Nutrients!$CW$79,(IF($A$7=Nutrients!$B$77,Nutrients!$CW$77,Nutrients!$CW$78)))))*AF$7))/2000/AF$225*100</f>
        <v>127.70086485503387</v>
      </c>
      <c r="AG234" s="110">
        <f>(SUMPRODUCT(AG$8:AG$217,Nutrients!$CW$8:$CW$217)+(IF($A$6=Nutrients!$B$8,Nutrients!$CW$8,Nutrients!$CW$9)*AG$6)+(((IF($A$7=Nutrients!$B$79,Nutrients!$CW$79,(IF($A$7=Nutrients!$B$77,Nutrients!$CW$77,Nutrients!$CW$78)))))*AG$7))/2000/AG$225*100</f>
        <v>116.73829563553699</v>
      </c>
      <c r="AH234" s="110">
        <f>(SUMPRODUCT(AH$8:AH$217,Nutrients!$CW$8:$CW$217)+(IF($A$6=Nutrients!$B$8,Nutrients!$CW$8,Nutrients!$CW$9)*AH$6)+(((IF($A$7=Nutrients!$B$79,Nutrients!$CW$79,(IF($A$7=Nutrients!$B$77,Nutrients!$CW$77,Nutrients!$CW$78)))))*AH$7))/2000/AH$225*100</f>
        <v>108.17378843280491</v>
      </c>
      <c r="AI234" s="110">
        <f>(SUMPRODUCT(AI$8:AI$217,Nutrients!$CW$8:$CW$217)+(IF($A$6=Nutrients!$B$8,Nutrients!$CW$8,Nutrients!$CW$9)*AI$6)+(((IF($A$7=Nutrients!$B$79,Nutrients!$CW$79,(IF($A$7=Nutrients!$B$77,Nutrients!$CW$77,Nutrients!$CW$78)))))*AI$7))/2000/AI$225*100</f>
        <v>101.29805729821737</v>
      </c>
      <c r="AJ234" s="110">
        <f>(SUMPRODUCT(AJ$8:AJ$217,Nutrients!$CW$8:$CW$217)+(IF($A$6=Nutrients!$B$8,Nutrients!$CW$8,Nutrients!$CW$9)*AJ$6)+(((IF($A$7=Nutrients!$B$79,Nutrients!$CW$79,(IF($A$7=Nutrients!$B$77,Nutrients!$CW$77,Nutrients!$CW$78)))))*AJ$7))/2000/AJ$225*100</f>
        <v>95.955182962812941</v>
      </c>
      <c r="AK234" s="110"/>
      <c r="AL234" s="110"/>
    </row>
    <row r="235" spans="1:38" x14ac:dyDescent="0.15">
      <c r="A235" s="98" t="s">
        <v>400</v>
      </c>
      <c r="B235" s="110">
        <f>(SUMPRODUCT(B$8:B$217,Nutrients!$DD$8:$DD$217)+(IF($A$6=Nutrients!$B$8,Nutrients!$DD$8,Nutrients!$DD$9)*B$6)+(((IF($A$7=Nutrients!$B$79,Nutrients!$DD$79,(IF($A$7=Nutrients!$B$77,Nutrients!$DD$77,Nutrients!$DD$78)))))*B$7))/2000/B$225*100</f>
        <v>77.087114837102959</v>
      </c>
      <c r="C235" s="110">
        <f>(SUMPRODUCT(C$8:C$217,Nutrients!$DD$8:$DD$217)+(IF($A$6=Nutrients!$B$8,Nutrients!$DD$8,Nutrients!$DD$9)*C$6)+(((IF($A$7=Nutrients!$B$79,Nutrients!$DD$79,(IF($A$7=Nutrients!$B$77,Nutrients!$DD$77,Nutrients!$DD$78)))))*C$7))/2000/C$225*100</f>
        <v>74.022926081340884</v>
      </c>
      <c r="D235" s="110">
        <f>(SUMPRODUCT(D$8:D$217,Nutrients!$DD$8:$DD$217)+(IF($A$6=Nutrients!$B$8,Nutrients!$DD$8,Nutrients!$DD$9)*D$6)+(((IF($A$7=Nutrients!$B$79,Nutrients!$DD$79,(IF($A$7=Nutrients!$B$77,Nutrients!$DD$77,Nutrients!$DD$78)))))*D$7))/2000/D$225*100</f>
        <v>71.46368900138809</v>
      </c>
      <c r="E235" s="110">
        <f>(SUMPRODUCT(E$8:E$217,Nutrients!$DD$8:$DD$217)+(IF($A$6=Nutrients!$B$8,Nutrients!$DD$8,Nutrients!$DD$9)*E$6)+(((IF($A$7=Nutrients!$B$79,Nutrients!$DD$79,(IF($A$7=Nutrients!$B$77,Nutrients!$DD$77,Nutrients!$DD$78)))))*E$7))/2000/E$225*100</f>
        <v>69.301211797551673</v>
      </c>
      <c r="F235" s="110">
        <f>(SUMPRODUCT(F$8:F$217,Nutrients!$DD$8:$DD$217)+(IF($A$6=Nutrients!$B$8,Nutrients!$DD$8,Nutrients!$DD$9)*F$6)+(((IF($A$7=Nutrients!$B$79,Nutrients!$DD$79,(IF($A$7=Nutrients!$B$77,Nutrients!$DD$77,Nutrients!$DD$78)))))*F$7))/2000/F$225*100</f>
        <v>67.443438026805396</v>
      </c>
      <c r="G235" s="110">
        <f>(SUMPRODUCT(G$8:G$217,Nutrients!$DD$8:$DD$217)+(IF($A$6=Nutrients!$B$8,Nutrients!$DD$8,Nutrients!$DD$9)*G$6)+(((IF($A$7=Nutrients!$B$79,Nutrients!$DD$79,(IF($A$7=Nutrients!$B$77,Nutrients!$DD$77,Nutrients!$DD$78)))))*G$7))/2000/G$225*100</f>
        <v>65.844531957214016</v>
      </c>
      <c r="H235" s="434"/>
      <c r="I235" s="110">
        <f>(SUMPRODUCT(I$8:I$217,Nutrients!$DD$8:$DD$217)+(IF($A$6=Nutrients!$B$8,Nutrients!$DD$8,Nutrients!$DD$9)*I$6)+(((IF($A$7=Nutrients!$B$79,Nutrients!$DD$79,(IF($A$7=Nutrients!$B$77,Nutrients!$DD$77,Nutrients!$DD$78)))))*I$7))/2000/I$225*100</f>
        <v>76.45515950130644</v>
      </c>
      <c r="J235" s="110">
        <f>(SUMPRODUCT(J$8:J$217,Nutrients!$DD$8:$DD$217)+(IF($A$6=Nutrients!$B$8,Nutrients!$DD$8,Nutrients!$DD$9)*J$6)+(((IF($A$7=Nutrients!$B$79,Nutrients!$DD$79,(IF($A$7=Nutrients!$B$77,Nutrients!$DD$77,Nutrients!$DD$78)))))*J$7))/2000/J$225*100</f>
        <v>75.496997032482923</v>
      </c>
      <c r="K235" s="110">
        <f>(SUMPRODUCT(K$8:K$217,Nutrients!$DD$8:$DD$217)+(IF($A$6=Nutrients!$B$8,Nutrients!$DD$8,Nutrients!$DD$9)*K$6)+(((IF($A$7=Nutrients!$B$79,Nutrients!$DD$79,(IF($A$7=Nutrients!$B$77,Nutrients!$DD$77,Nutrients!$DD$78)))))*K$7))/2000/K$225*100</f>
        <v>74.686214486711009</v>
      </c>
      <c r="L235" s="110">
        <f>(SUMPRODUCT(L$8:L$217,Nutrients!$DD$8:$DD$217)+(IF($A$6=Nutrients!$B$8,Nutrients!$DD$8,Nutrients!$DD$9)*L$6)+(((IF($A$7=Nutrients!$B$79,Nutrients!$DD$79,(IF($A$7=Nutrients!$B$77,Nutrients!$DD$77,Nutrients!$DD$78)))))*L$7))/2000/L$225*100</f>
        <v>73.735199019226044</v>
      </c>
      <c r="M235" s="110">
        <f>(SUMPRODUCT(M$8:M$217,Nutrients!$DD$8:$DD$217)+(IF($A$6=Nutrients!$B$8,Nutrients!$DD$8,Nutrients!$DD$9)*M$6)+(((IF($A$7=Nutrients!$B$79,Nutrients!$DD$79,(IF($A$7=Nutrients!$B$77,Nutrients!$DD$77,Nutrients!$DD$78)))))*M$7))/2000/M$225*100</f>
        <v>73.16608526665425</v>
      </c>
      <c r="N235" s="110">
        <f>(SUMPRODUCT(N$8:N$217,Nutrients!$DD$8:$DD$217)+(IF($A$6=Nutrients!$B$8,Nutrients!$DD$8,Nutrients!$DD$9)*N$6)+(((IF($A$7=Nutrients!$B$79,Nutrients!$DD$79,(IF($A$7=Nutrients!$B$77,Nutrients!$DD$77,Nutrients!$DD$78)))))*N$7))/2000/N$225*100</f>
        <v>72.681062562260152</v>
      </c>
      <c r="O235" s="434"/>
      <c r="P235" s="110">
        <f>(SUMPRODUCT(P$8:P$217,Nutrients!$DD$8:$DD$217)+(IF($A$6=Nutrients!$B$8,Nutrients!$DD$8,Nutrients!$DD$9)*P$6)+(((IF($A$7=Nutrients!$B$79,Nutrients!$DD$79,(IF($A$7=Nutrients!$B$77,Nutrients!$DD$77,Nutrients!$DD$78)))))*P$7))/2000/P$225*100</f>
        <v>85.129235735219297</v>
      </c>
      <c r="Q235" s="110">
        <f>(SUMPRODUCT(Q$8:Q$217,Nutrients!$DD$8:$DD$217)+(IF($A$6=Nutrients!$B$8,Nutrients!$DD$8,Nutrients!$DD$9)*Q$6)+(((IF($A$7=Nutrients!$B$79,Nutrients!$DD$79,(IF($A$7=Nutrients!$B$77,Nutrients!$DD$77,Nutrients!$DD$78)))))*Q$7))/2000/Q$225*100</f>
        <v>82.347739227974216</v>
      </c>
      <c r="R235" s="110">
        <f>(SUMPRODUCT(R$8:R$217,Nutrients!$DD$8:$DD$217)+(IF($A$6=Nutrients!$B$8,Nutrients!$DD$8,Nutrients!$DD$9)*R$6)+(((IF($A$7=Nutrients!$B$79,Nutrients!$DD$79,(IF($A$7=Nutrients!$B$77,Nutrients!$DD$77,Nutrients!$DD$78)))))*R$7))/2000/R$225*100</f>
        <v>80.409232673462753</v>
      </c>
      <c r="S235" s="110">
        <f>(SUMPRODUCT(S$8:S$217,Nutrients!$DD$8:$DD$217)+(IF($A$6=Nutrients!$B$8,Nutrients!$DD$8,Nutrients!$DD$9)*S$6)+(((IF($A$7=Nutrients!$B$79,Nutrients!$DD$79,(IF($A$7=Nutrients!$B$77,Nutrients!$DD$77,Nutrients!$DD$78)))))*S$7))/2000/S$225*100</f>
        <v>78.464724218935459</v>
      </c>
      <c r="T235" s="110">
        <f>(SUMPRODUCT(T$8:T$217,Nutrients!$DD$8:$DD$217)+(IF($A$6=Nutrients!$B$8,Nutrients!$DD$8,Nutrients!$DD$9)*T$6)+(((IF($A$7=Nutrients!$B$79,Nutrients!$DD$79,(IF($A$7=Nutrients!$B$77,Nutrients!$DD$77,Nutrients!$DD$78)))))*T$7))/2000/T$225*100</f>
        <v>76.813996720724234</v>
      </c>
      <c r="U235" s="110">
        <f>(SUMPRODUCT(U$8:U$217,Nutrients!$DD$8:$DD$217)+(IF($A$6=Nutrients!$B$8,Nutrients!$DD$8,Nutrients!$DD$9)*U$6)+(((IF($A$7=Nutrients!$B$79,Nutrients!$DD$79,(IF($A$7=Nutrients!$B$77,Nutrients!$DD$77,Nutrients!$DD$78)))))*U$7))/2000/U$225*100</f>
        <v>75.962449782803958</v>
      </c>
      <c r="V235" s="434"/>
      <c r="W235" s="110">
        <f>(SUMPRODUCT(W$8:W$217,Nutrients!$DD$8:$DD$217)+(IF($A$6=Nutrients!$B$8,Nutrients!$DD$8,Nutrients!$DD$9)*W$6)+(((IF($A$7=Nutrients!$B$79,Nutrients!$DD$79,(IF($A$7=Nutrients!$B$77,Nutrients!$DD$77,Nutrients!$DD$78)))))*W$7))/2000/W$225*100</f>
        <v>88.582127951109811</v>
      </c>
      <c r="X235" s="110">
        <f>(SUMPRODUCT(X$8:X$217,Nutrients!$DD$8:$DD$217)+(IF($A$6=Nutrients!$B$8,Nutrients!$DD$8,Nutrients!$DD$9)*X$6)+(((IF($A$7=Nutrients!$B$79,Nutrients!$DD$79,(IF($A$7=Nutrients!$B$77,Nutrients!$DD$77,Nutrients!$DD$78)))))*X$7))/2000/X$225*100</f>
        <v>85.129235735219297</v>
      </c>
      <c r="Y235" s="110">
        <f>(SUMPRODUCT(Y$8:Y$217,Nutrients!$DD$8:$DD$217)+(IF($A$6=Nutrients!$B$8,Nutrients!$DD$8,Nutrients!$DD$9)*Y$6)+(((IF($A$7=Nutrients!$B$79,Nutrients!$DD$79,(IF($A$7=Nutrients!$B$77,Nutrients!$DD$77,Nutrients!$DD$78)))))*Y$7))/2000/Y$225*100</f>
        <v>82.347739227974216</v>
      </c>
      <c r="Z235" s="110">
        <f>(SUMPRODUCT(Z$8:Z$217,Nutrients!$DD$8:$DD$217)+(IF($A$6=Nutrients!$B$8,Nutrients!$DD$8,Nutrients!$DD$9)*Z$6)+(((IF($A$7=Nutrients!$B$79,Nutrients!$DD$79,(IF($A$7=Nutrients!$B$77,Nutrients!$DD$77,Nutrients!$DD$78)))))*Z$7))/2000/Z$225*100</f>
        <v>80.409232673462753</v>
      </c>
      <c r="AA235" s="110">
        <f>(SUMPRODUCT(AA$8:AA$217,Nutrients!$DD$8:$DD$217)+(IF($A$6=Nutrients!$B$8,Nutrients!$DD$8,Nutrients!$DD$9)*AA$6)+(((IF($A$7=Nutrients!$B$79,Nutrients!$DD$79,(IF($A$7=Nutrients!$B$77,Nutrients!$DD$77,Nutrients!$DD$78)))))*AA$7))/2000/AA$225*100</f>
        <v>78.464724218935459</v>
      </c>
      <c r="AB235" s="110">
        <f>(SUMPRODUCT(AB$8:AB$217,Nutrients!$DD$8:$DD$217)+(IF($A$6=Nutrients!$B$8,Nutrients!$DD$8,Nutrients!$DD$9)*AB$6)+(((IF($A$7=Nutrients!$B$79,Nutrients!$DD$79,(IF($A$7=Nutrients!$B$77,Nutrients!$DD$77,Nutrients!$DD$78)))))*AB$7))/2000/AB$225*100</f>
        <v>76.813996720724234</v>
      </c>
      <c r="AC235" s="110">
        <f>(SUMPRODUCT(AC$8:AC$217,Nutrients!$DD$8:$DD$217)+(IF($A$6=Nutrients!$B$8,Nutrients!$DD$8,Nutrients!$DD$9)*AC$6)+(((IF($A$7=Nutrients!$B$79,Nutrients!$DD$79,(IF($A$7=Nutrients!$B$77,Nutrients!$DD$77,Nutrients!$DD$78)))))*AC$7))/2000/AC$225*100</f>
        <v>75.962449782803958</v>
      </c>
      <c r="AD235" s="434"/>
      <c r="AE235" s="110">
        <f>(SUMPRODUCT(AE$8:AE$217,Nutrients!$DD$8:$DD$217)+(IF($A$6=Nutrients!$B$8,Nutrients!$DD$8,Nutrients!$DD$9)*AE$6)+(((IF($A$7=Nutrients!$B$79,Nutrients!$DD$79,(IF($A$7=Nutrients!$B$77,Nutrients!$DD$77,Nutrients!$DD$78)))))*AE$7))/2000/AE$225*100</f>
        <v>117.3875806130025</v>
      </c>
      <c r="AF235" s="110">
        <f>(SUMPRODUCT(AF$8:AF$217,Nutrients!$DD$8:$DD$217)+(IF($A$6=Nutrients!$B$8,Nutrients!$DD$8,Nutrients!$DD$9)*AF$6)+(((IF($A$7=Nutrients!$B$79,Nutrients!$DD$79,(IF($A$7=Nutrients!$B$77,Nutrients!$DD$77,Nutrients!$DD$78)))))*AF$7))/2000/AF$225*100</f>
        <v>104.18193670253939</v>
      </c>
      <c r="AG235" s="110">
        <f>(SUMPRODUCT(AG$8:AG$217,Nutrients!$DD$8:$DD$217)+(IF($A$6=Nutrients!$B$8,Nutrients!$DD$8,Nutrients!$DD$9)*AG$6)+(((IF($A$7=Nutrients!$B$79,Nutrients!$DD$79,(IF($A$7=Nutrients!$B$77,Nutrients!$DD$77,Nutrients!$DD$78)))))*AG$7))/2000/AG$225*100</f>
        <v>94.219784278856707</v>
      </c>
      <c r="AH235" s="110">
        <f>(SUMPRODUCT(AH$8:AH$217,Nutrients!$DD$8:$DD$217)+(IF($A$6=Nutrients!$B$8,Nutrients!$DD$8,Nutrients!$DD$9)*AH$6)+(((IF($A$7=Nutrients!$B$79,Nutrients!$DD$79,(IF($A$7=Nutrients!$B$77,Nutrients!$DD$77,Nutrients!$DD$78)))))*AH$7))/2000/AH$225*100</f>
        <v>86.436852697854533</v>
      </c>
      <c r="AI235" s="110">
        <f>(SUMPRODUCT(AI$8:AI$217,Nutrients!$DD$8:$DD$217)+(IF($A$6=Nutrients!$B$8,Nutrients!$DD$8,Nutrients!$DD$9)*AI$6)+(((IF($A$7=Nutrients!$B$79,Nutrients!$DD$79,(IF($A$7=Nutrients!$B$77,Nutrients!$DD$77,Nutrients!$DD$78)))))*AI$7))/2000/AI$225*100</f>
        <v>80.188583682120495</v>
      </c>
      <c r="AJ235" s="110">
        <f>(SUMPRODUCT(AJ$8:AJ$217,Nutrients!$DD$8:$DD$217)+(IF($A$6=Nutrients!$B$8,Nutrients!$DD$8,Nutrients!$DD$9)*AJ$6)+(((IF($A$7=Nutrients!$B$79,Nutrients!$DD$79,(IF($A$7=Nutrients!$B$77,Nutrients!$DD$77,Nutrients!$DD$78)))))*AJ$7))/2000/AJ$225*100</f>
        <v>75.031792171268009</v>
      </c>
      <c r="AK235" s="110"/>
      <c r="AL235" s="110"/>
    </row>
    <row r="236" spans="1:38" x14ac:dyDescent="0.15">
      <c r="A236" s="98" t="s">
        <v>401</v>
      </c>
      <c r="B236" s="110">
        <f>(SUMPRODUCT(B$8:B$217,Nutrients!$DE$8:$DE$217)+(IF($A$6=Nutrients!$B$8,Nutrients!$DE$8,Nutrients!$DE$9)*B$6)+(((IF($A$7=Nutrients!$B$79,Nutrients!$DE$79,(IF($A$7=Nutrients!$B$77,Nutrients!$DE$77,Nutrients!$DE$78)))))*B$7))/2000/B$225*100</f>
        <v>127.17074181971095</v>
      </c>
      <c r="C236" s="110">
        <f>(SUMPRODUCT(C$8:C$217,Nutrients!$DE$8:$DE$217)+(IF($A$6=Nutrients!$B$8,Nutrients!$DE$8,Nutrients!$DE$9)*C$6)+(((IF($A$7=Nutrients!$B$79,Nutrients!$DE$79,(IF($A$7=Nutrients!$B$77,Nutrients!$DE$77,Nutrients!$DE$78)))))*C$7))/2000/C$225*100</f>
        <v>122.2029247648033</v>
      </c>
      <c r="D236" s="110">
        <f>(SUMPRODUCT(D$8:D$217,Nutrients!$DE$8:$DE$217)+(IF($A$6=Nutrients!$B$8,Nutrients!$DE$8,Nutrients!$DE$9)*D$6)+(((IF($A$7=Nutrients!$B$79,Nutrients!$DE$79,(IF($A$7=Nutrients!$B$77,Nutrients!$DE$77,Nutrients!$DE$78)))))*D$7))/2000/D$225*100</f>
        <v>118.05396978198743</v>
      </c>
      <c r="E236" s="110">
        <f>(SUMPRODUCT(E$8:E$217,Nutrients!$DE$8:$DE$217)+(IF($A$6=Nutrients!$B$8,Nutrients!$DE$8,Nutrients!$DE$9)*E$6)+(((IF($A$7=Nutrients!$B$79,Nutrients!$DE$79,(IF($A$7=Nutrients!$B$77,Nutrients!$DE$77,Nutrients!$DE$78)))))*E$7))/2000/E$225*100</f>
        <v>114.54811948860319</v>
      </c>
      <c r="F236" s="110">
        <f>(SUMPRODUCT(F$8:F$217,Nutrients!$DE$8:$DE$217)+(IF($A$6=Nutrients!$B$8,Nutrients!$DE$8,Nutrients!$DE$9)*F$6)+(((IF($A$7=Nutrients!$B$79,Nutrients!$DE$79,(IF($A$7=Nutrients!$B$77,Nutrients!$DE$77,Nutrients!$DE$78)))))*F$7))/2000/F$225*100</f>
        <v>111.53641377316892</v>
      </c>
      <c r="G236" s="110">
        <f>(SUMPRODUCT(G$8:G$217,Nutrients!$DE$8:$DE$217)+(IF($A$6=Nutrients!$B$8,Nutrients!$DE$8,Nutrients!$DE$9)*G$6)+(((IF($A$7=Nutrients!$B$79,Nutrients!$DE$79,(IF($A$7=Nutrients!$B$77,Nutrients!$DE$77,Nutrients!$DE$78)))))*G$7))/2000/G$225*100</f>
        <v>108.9439632689366</v>
      </c>
      <c r="H236" s="434"/>
      <c r="I236" s="110">
        <f>(SUMPRODUCT(I$8:I$217,Nutrients!$DE$8:$DE$217)+(IF($A$6=Nutrients!$B$8,Nutrients!$DE$8,Nutrients!$DE$9)*I$6)+(((IF($A$7=Nutrients!$B$79,Nutrients!$DE$79,(IF($A$7=Nutrients!$B$77,Nutrients!$DE$77,Nutrients!$DE$78)))))*I$7))/2000/I$225*100</f>
        <v>125.70946200069403</v>
      </c>
      <c r="J236" s="110">
        <f>(SUMPRODUCT(J$8:J$217,Nutrients!$DE$8:$DE$217)+(IF($A$6=Nutrients!$B$8,Nutrients!$DE$8,Nutrients!$DE$9)*J$6)+(((IF($A$7=Nutrients!$B$79,Nutrients!$DE$79,(IF($A$7=Nutrients!$B$77,Nutrients!$DE$77,Nutrients!$DE$78)))))*J$7))/2000/J$225*100</f>
        <v>124.28840235816567</v>
      </c>
      <c r="K236" s="110">
        <f>(SUMPRODUCT(K$8:K$217,Nutrients!$DE$8:$DE$217)+(IF($A$6=Nutrients!$B$8,Nutrients!$DE$8,Nutrients!$DE$9)*K$6)+(((IF($A$7=Nutrients!$B$79,Nutrients!$DE$79,(IF($A$7=Nutrients!$B$77,Nutrients!$DE$77,Nutrients!$DE$78)))))*K$7))/2000/K$225*100</f>
        <v>123.08467005283603</v>
      </c>
      <c r="L236" s="110">
        <f>(SUMPRODUCT(L$8:L$217,Nutrients!$DE$8:$DE$217)+(IF($A$6=Nutrients!$B$8,Nutrients!$DE$8,Nutrients!$DE$9)*L$6)+(((IF($A$7=Nutrients!$B$79,Nutrients!$DE$79,(IF($A$7=Nutrients!$B$77,Nutrients!$DE$77,Nutrients!$DE$78)))))*L$7))/2000/L$225*100</f>
        <v>121.62260892607925</v>
      </c>
      <c r="M236" s="110">
        <f>(SUMPRODUCT(M$8:M$217,Nutrients!$DE$8:$DE$217)+(IF($A$6=Nutrients!$B$8,Nutrients!$DE$8,Nutrients!$DE$9)*M$6)+(((IF($A$7=Nutrients!$B$79,Nutrients!$DE$79,(IF($A$7=Nutrients!$B$77,Nutrients!$DE$77,Nutrients!$DE$78)))))*M$7))/2000/M$225*100</f>
        <v>120.78125219523153</v>
      </c>
      <c r="N236" s="110">
        <f>(SUMPRODUCT(N$8:N$217,Nutrients!$DE$8:$DE$217)+(IF($A$6=Nutrients!$B$8,Nutrients!$DE$8,Nutrients!$DE$9)*N$6)+(((IF($A$7=Nutrients!$B$79,Nutrients!$DE$79,(IF($A$7=Nutrients!$B$77,Nutrients!$DE$77,Nutrients!$DE$78)))))*N$7))/2000/N$225*100</f>
        <v>120.06508698620075</v>
      </c>
      <c r="O236" s="434"/>
      <c r="P236" s="110">
        <f>(SUMPRODUCT(P$8:P$217,Nutrients!$DE$8:$DE$217)+(IF($A$6=Nutrients!$B$8,Nutrients!$DE$8,Nutrients!$DE$9)*P$6)+(((IF($A$7=Nutrients!$B$79,Nutrients!$DE$79,(IF($A$7=Nutrients!$B$77,Nutrients!$DE$77,Nutrients!$DE$78)))))*P$7))/2000/P$225*100</f>
        <v>139.70908567664293</v>
      </c>
      <c r="Q236" s="110">
        <f>(SUMPRODUCT(Q$8:Q$217,Nutrients!$DE$8:$DE$217)+(IF($A$6=Nutrients!$B$8,Nutrients!$DE$8,Nutrients!$DE$9)*Q$6)+(((IF($A$7=Nutrients!$B$79,Nutrients!$DE$79,(IF($A$7=Nutrients!$B$77,Nutrients!$DE$77,Nutrients!$DE$78)))))*Q$7))/2000/Q$225*100</f>
        <v>135.3038892600002</v>
      </c>
      <c r="R236" s="110">
        <f>(SUMPRODUCT(R$8:R$217,Nutrients!$DE$8:$DE$217)+(IF($A$6=Nutrients!$B$8,Nutrients!$DE$8,Nutrients!$DE$9)*R$6)+(((IF($A$7=Nutrients!$B$79,Nutrients!$DE$79,(IF($A$7=Nutrients!$B$77,Nutrients!$DE$77,Nutrients!$DE$78)))))*R$7))/2000/R$225*100</f>
        <v>132.26520919322013</v>
      </c>
      <c r="S236" s="110">
        <f>(SUMPRODUCT(S$8:S$217,Nutrients!$DE$8:$DE$217)+(IF($A$6=Nutrients!$B$8,Nutrients!$DE$8,Nutrients!$DE$9)*S$6)+(((IF($A$7=Nutrients!$B$79,Nutrients!$DE$79,(IF($A$7=Nutrients!$B$77,Nutrients!$DE$77,Nutrients!$DE$78)))))*S$7))/2000/S$225*100</f>
        <v>129.18303469770484</v>
      </c>
      <c r="T236" s="110">
        <f>(SUMPRODUCT(T$8:T$217,Nutrients!$DE$8:$DE$217)+(IF($A$6=Nutrients!$B$8,Nutrients!$DE$8,Nutrients!$DE$9)*T$6)+(((IF($A$7=Nutrients!$B$79,Nutrients!$DE$79,(IF($A$7=Nutrients!$B$77,Nutrients!$DE$77,Nutrients!$DE$78)))))*T$7))/2000/T$225*100</f>
        <v>126.56652224982024</v>
      </c>
      <c r="U236" s="110">
        <f>(SUMPRODUCT(U$8:U$217,Nutrients!$DE$8:$DE$217)+(IF($A$6=Nutrients!$B$8,Nutrients!$DE$8,Nutrients!$DE$9)*U$6)+(((IF($A$7=Nutrients!$B$79,Nutrients!$DE$79,(IF($A$7=Nutrients!$B$77,Nutrients!$DE$77,Nutrients!$DE$78)))))*U$7))/2000/U$225*100</f>
        <v>125.26569375961461</v>
      </c>
      <c r="V236" s="434"/>
      <c r="W236" s="110">
        <f>(SUMPRODUCT(W$8:W$217,Nutrients!$DE$8:$DE$217)+(IF($A$6=Nutrients!$B$8,Nutrients!$DE$8,Nutrients!$DE$9)*W$6)+(((IF($A$7=Nutrients!$B$79,Nutrients!$DE$79,(IF($A$7=Nutrients!$B$77,Nutrients!$DE$77,Nutrients!$DE$78)))))*W$7))/2000/W$225*100</f>
        <v>145.17760536626847</v>
      </c>
      <c r="X236" s="110">
        <f>(SUMPRODUCT(X$8:X$217,Nutrients!$DE$8:$DE$217)+(IF($A$6=Nutrients!$B$8,Nutrients!$DE$8,Nutrients!$DE$9)*X$6)+(((IF($A$7=Nutrients!$B$79,Nutrients!$DE$79,(IF($A$7=Nutrients!$B$77,Nutrients!$DE$77,Nutrients!$DE$78)))))*X$7))/2000/X$225*100</f>
        <v>139.70908567664293</v>
      </c>
      <c r="Y236" s="110">
        <f>(SUMPRODUCT(Y$8:Y$217,Nutrients!$DE$8:$DE$217)+(IF($A$6=Nutrients!$B$8,Nutrients!$DE$8,Nutrients!$DE$9)*Y$6)+(((IF($A$7=Nutrients!$B$79,Nutrients!$DE$79,(IF($A$7=Nutrients!$B$77,Nutrients!$DE$77,Nutrients!$DE$78)))))*Y$7))/2000/Y$225*100</f>
        <v>135.3038892600002</v>
      </c>
      <c r="Z236" s="110">
        <f>(SUMPRODUCT(Z$8:Z$217,Nutrients!$DE$8:$DE$217)+(IF($A$6=Nutrients!$B$8,Nutrients!$DE$8,Nutrients!$DE$9)*Z$6)+(((IF($A$7=Nutrients!$B$79,Nutrients!$DE$79,(IF($A$7=Nutrients!$B$77,Nutrients!$DE$77,Nutrients!$DE$78)))))*Z$7))/2000/Z$225*100</f>
        <v>132.26520919322013</v>
      </c>
      <c r="AA236" s="110">
        <f>(SUMPRODUCT(AA$8:AA$217,Nutrients!$DE$8:$DE$217)+(IF($A$6=Nutrients!$B$8,Nutrients!$DE$8,Nutrients!$DE$9)*AA$6)+(((IF($A$7=Nutrients!$B$79,Nutrients!$DE$79,(IF($A$7=Nutrients!$B$77,Nutrients!$DE$77,Nutrients!$DE$78)))))*AA$7))/2000/AA$225*100</f>
        <v>129.18303469770484</v>
      </c>
      <c r="AB236" s="110">
        <f>(SUMPRODUCT(AB$8:AB$217,Nutrients!$DE$8:$DE$217)+(IF($A$6=Nutrients!$B$8,Nutrients!$DE$8,Nutrients!$DE$9)*AB$6)+(((IF($A$7=Nutrients!$B$79,Nutrients!$DE$79,(IF($A$7=Nutrients!$B$77,Nutrients!$DE$77,Nutrients!$DE$78)))))*AB$7))/2000/AB$225*100</f>
        <v>126.56652224982024</v>
      </c>
      <c r="AC236" s="110">
        <f>(SUMPRODUCT(AC$8:AC$217,Nutrients!$DE$8:$DE$217)+(IF($A$6=Nutrients!$B$8,Nutrients!$DE$8,Nutrients!$DE$9)*AC$6)+(((IF($A$7=Nutrients!$B$79,Nutrients!$DE$79,(IF($A$7=Nutrients!$B$77,Nutrients!$DE$77,Nutrients!$DE$78)))))*AC$7))/2000/AC$225*100</f>
        <v>125.26569375961461</v>
      </c>
      <c r="AD236" s="434"/>
      <c r="AE236" s="110">
        <f>(SUMPRODUCT(AE$8:AE$217,Nutrients!$DE$8:$DE$217)+(IF($A$6=Nutrients!$B$8,Nutrients!$DE$8,Nutrients!$DE$9)*AE$6)+(((IF($A$7=Nutrients!$B$79,Nutrients!$DE$79,(IF($A$7=Nutrients!$B$77,Nutrients!$DE$77,Nutrients!$DE$78)))))*AE$7))/2000/AE$225*100</f>
        <v>192.2680490029831</v>
      </c>
      <c r="AF236" s="110">
        <f>(SUMPRODUCT(AF$8:AF$217,Nutrients!$DE$8:$DE$217)+(IF($A$6=Nutrients!$B$8,Nutrients!$DE$8,Nutrients!$DE$9)*AF$6)+(((IF($A$7=Nutrients!$B$79,Nutrients!$DE$79,(IF($A$7=Nutrients!$B$77,Nutrients!$DE$77,Nutrients!$DE$78)))))*AF$7))/2000/AF$225*100</f>
        <v>170.75025704822403</v>
      </c>
      <c r="AG236" s="110">
        <f>(SUMPRODUCT(AG$8:AG$217,Nutrients!$DE$8:$DE$217)+(IF($A$6=Nutrients!$B$8,Nutrients!$DE$8,Nutrients!$DE$9)*AG$6)+(((IF($A$7=Nutrients!$B$79,Nutrients!$DE$79,(IF($A$7=Nutrients!$B$77,Nutrients!$DE$77,Nutrients!$DE$78)))))*AG$7))/2000/AG$225*100</f>
        <v>154.51753680165146</v>
      </c>
      <c r="AH236" s="110">
        <f>(SUMPRODUCT(AH$8:AH$217,Nutrients!$DE$8:$DE$217)+(IF($A$6=Nutrients!$B$8,Nutrients!$DE$8,Nutrients!$DE$9)*AH$6)+(((IF($A$7=Nutrients!$B$79,Nutrients!$DE$79,(IF($A$7=Nutrients!$B$77,Nutrients!$DE$77,Nutrients!$DE$78)))))*AH$7))/2000/AH$225*100</f>
        <v>141.83572410901641</v>
      </c>
      <c r="AI236" s="110">
        <f>(SUMPRODUCT(AI$8:AI$217,Nutrients!$DE$8:$DE$217)+(IF($A$6=Nutrients!$B$8,Nutrients!$DE$8,Nutrients!$DE$9)*AI$6)+(((IF($A$7=Nutrients!$B$79,Nutrients!$DE$79,(IF($A$7=Nutrients!$B$77,Nutrients!$DE$77,Nutrients!$DE$78)))))*AI$7))/2000/AI$225*100</f>
        <v>131.65455053887305</v>
      </c>
      <c r="AJ236" s="110">
        <f>(SUMPRODUCT(AJ$8:AJ$217,Nutrients!$DE$8:$DE$217)+(IF($A$6=Nutrients!$B$8,Nutrients!$DE$8,Nutrients!$DE$9)*AJ$6)+(((IF($A$7=Nutrients!$B$79,Nutrients!$DE$79,(IF($A$7=Nutrients!$B$77,Nutrients!$DE$77,Nutrients!$DE$78)))))*AJ$7))/2000/AJ$225*100</f>
        <v>123.27708318275829</v>
      </c>
      <c r="AK236" s="110"/>
      <c r="AL236" s="110"/>
    </row>
    <row r="237" spans="1:38" x14ac:dyDescent="0.15">
      <c r="A237" s="98" t="s">
        <v>403</v>
      </c>
      <c r="B237" s="110">
        <f>(SUMPRODUCT(B$8:B$217,Nutrients!$DI$8:$DI$217)+(IF($A$6=Nutrients!$B$8,Nutrients!$DI$8,Nutrients!$DI$9)*B$6)+(((IF($A$7=Nutrients!$B$79,Nutrients!$DI$79,(IF($A$7=Nutrients!$B$77,Nutrients!$DI$77,Nutrients!$DI$78)))))*B$7))/2000/B$225*100</f>
        <v>33.721746716746964</v>
      </c>
      <c r="C237" s="110">
        <f>(SUMPRODUCT(C$8:C$217,Nutrients!$DI$8:$DI$217)+(IF($A$6=Nutrients!$B$8,Nutrients!$DI$8,Nutrients!$DI$9)*C$6)+(((IF($A$7=Nutrients!$B$79,Nutrients!$DI$79,(IF($A$7=Nutrients!$B$77,Nutrients!$DI$77,Nutrients!$DI$78)))))*C$7))/2000/C$225*100</f>
        <v>29.40147796937282</v>
      </c>
      <c r="D237" s="110">
        <f>(SUMPRODUCT(D$8:D$217,Nutrients!$DI$8:$DI$217)+(IF($A$6=Nutrients!$B$8,Nutrients!$DI$8,Nutrients!$DI$9)*D$6)+(((IF($A$7=Nutrients!$B$79,Nutrients!$DI$79,(IF($A$7=Nutrients!$B$77,Nutrients!$DI$77,Nutrients!$DI$78)))))*D$7))/2000/D$225*100</f>
        <v>25.786008393892384</v>
      </c>
      <c r="E237" s="110">
        <f>(SUMPRODUCT(E$8:E$217,Nutrients!$DI$8:$DI$217)+(IF($A$6=Nutrients!$B$8,Nutrients!$DI$8,Nutrients!$DI$9)*E$6)+(((IF($A$7=Nutrients!$B$79,Nutrients!$DI$79,(IF($A$7=Nutrients!$B$77,Nutrients!$DI$77,Nutrients!$DI$78)))))*E$7))/2000/E$225*100</f>
        <v>22.734806552311081</v>
      </c>
      <c r="F237" s="110">
        <f>(SUMPRODUCT(F$8:F$217,Nutrients!$DI$8:$DI$217)+(IF($A$6=Nutrients!$B$8,Nutrients!$DI$8,Nutrients!$DI$9)*F$6)+(((IF($A$7=Nutrients!$B$79,Nutrients!$DI$79,(IF($A$7=Nutrients!$B$77,Nutrients!$DI$77,Nutrients!$DI$78)))))*F$7))/2000/F$225*100</f>
        <v>20.108289824913395</v>
      </c>
      <c r="G237" s="110">
        <f>(SUMPRODUCT(G$8:G$217,Nutrients!$DI$8:$DI$217)+(IF($A$6=Nutrients!$B$8,Nutrients!$DI$8,Nutrients!$DI$9)*G$6)+(((IF($A$7=Nutrients!$B$79,Nutrients!$DI$79,(IF($A$7=Nutrients!$B$77,Nutrients!$DI$77,Nutrients!$DI$78)))))*G$7))/2000/G$225*100</f>
        <v>17.861595388258351</v>
      </c>
      <c r="H237" s="434"/>
      <c r="I237" s="110">
        <f>(SUMPRODUCT(I$8:I$217,Nutrients!$DI$8:$DI$217)+(IF($A$6=Nutrients!$B$8,Nutrients!$DI$8,Nutrients!$DI$9)*I$6)+(((IF($A$7=Nutrients!$B$79,Nutrients!$DI$79,(IF($A$7=Nutrients!$B$77,Nutrients!$DI$77,Nutrients!$DI$78)))))*I$7))/2000/I$225*100</f>
        <v>47.757993194251654</v>
      </c>
      <c r="J237" s="110">
        <f>(SUMPRODUCT(J$8:J$217,Nutrients!$DI$8:$DI$217)+(IF($A$6=Nutrients!$B$8,Nutrients!$DI$8,Nutrients!$DI$9)*J$6)+(((IF($A$7=Nutrients!$B$79,Nutrients!$DI$79,(IF($A$7=Nutrients!$B$77,Nutrients!$DI$77,Nutrients!$DI$78)))))*J$7))/2000/J$225*100</f>
        <v>41.882910329802463</v>
      </c>
      <c r="K237" s="110">
        <f>(SUMPRODUCT(K$8:K$217,Nutrients!$DI$8:$DI$217)+(IF($A$6=Nutrients!$B$8,Nutrients!$DI$8,Nutrients!$DI$9)*K$6)+(((IF($A$7=Nutrients!$B$79,Nutrients!$DI$79,(IF($A$7=Nutrients!$B$77,Nutrients!$DI$77,Nutrients!$DI$78)))))*K$7))/2000/K$225*100</f>
        <v>36.954338758471472</v>
      </c>
      <c r="L237" s="110">
        <f>(SUMPRODUCT(L$8:L$217,Nutrients!$DI$8:$DI$217)+(IF($A$6=Nutrients!$B$8,Nutrients!$DI$8,Nutrients!$DI$9)*L$6)+(((IF($A$7=Nutrients!$B$79,Nutrients!$DI$79,(IF($A$7=Nutrients!$B$77,Nutrients!$DI$77,Nutrients!$DI$78)))))*L$7))/2000/L$225*100</f>
        <v>32.886821238482263</v>
      </c>
      <c r="M237" s="110">
        <f>(SUMPRODUCT(M$8:M$217,Nutrients!$DI$8:$DI$217)+(IF($A$6=Nutrients!$B$8,Nutrients!$DI$8,Nutrients!$DI$9)*M$6)+(((IF($A$7=Nutrients!$B$79,Nutrients!$DI$79,(IF($A$7=Nutrients!$B$77,Nutrients!$DI$77,Nutrients!$DI$78)))))*M$7))/2000/M$225*100</f>
        <v>29.304909112435691</v>
      </c>
      <c r="N237" s="110">
        <f>(SUMPRODUCT(N$8:N$217,Nutrients!$DI$8:$DI$217)+(IF($A$6=Nutrients!$B$8,Nutrients!$DI$8,Nutrients!$DI$9)*N$6)+(((IF($A$7=Nutrients!$B$79,Nutrients!$DI$79,(IF($A$7=Nutrients!$B$77,Nutrients!$DI$77,Nutrients!$DI$78)))))*N$7))/2000/N$225*100</f>
        <v>26.222364726055357</v>
      </c>
      <c r="O237" s="434"/>
      <c r="P237" s="110">
        <f>(SUMPRODUCT(P$8:P$217,Nutrients!$DI$8:$DI$217)+(IF($A$6=Nutrients!$B$8,Nutrients!$DI$8,Nutrients!$DI$9)*P$6)+(((IF($A$7=Nutrients!$B$79,Nutrients!$DI$79,(IF($A$7=Nutrients!$B$77,Nutrients!$DI$77,Nutrients!$DI$78)))))*P$7))/2000/P$225*100</f>
        <v>62.148824918881232</v>
      </c>
      <c r="Q237" s="110">
        <f>(SUMPRODUCT(Q$8:Q$217,Nutrients!$DI$8:$DI$217)+(IF($A$6=Nutrients!$B$8,Nutrients!$DI$8,Nutrients!$DI$9)*Q$6)+(((IF($A$7=Nutrients!$B$79,Nutrients!$DI$79,(IF($A$7=Nutrients!$B$77,Nutrients!$DI$77,Nutrients!$DI$78)))))*Q$7))/2000/Q$225*100</f>
        <v>54.661937396913544</v>
      </c>
      <c r="R237" s="110">
        <f>(SUMPRODUCT(R$8:R$217,Nutrients!$DI$8:$DI$217)+(IF($A$6=Nutrients!$B$8,Nutrients!$DI$8,Nutrients!$DI$9)*R$6)+(((IF($A$7=Nutrients!$B$79,Nutrients!$DI$79,(IF($A$7=Nutrients!$B$77,Nutrients!$DI$77,Nutrients!$DI$78)))))*R$7))/2000/R$225*100</f>
        <v>48.369800540561208</v>
      </c>
      <c r="S237" s="110">
        <f>(SUMPRODUCT(S$8:S$217,Nutrients!$DI$8:$DI$217)+(IF($A$6=Nutrients!$B$8,Nutrients!$DI$8,Nutrients!$DI$9)*S$6)+(((IF($A$7=Nutrients!$B$79,Nutrients!$DI$79,(IF($A$7=Nutrients!$B$77,Nutrients!$DI$77,Nutrients!$DI$78)))))*S$7))/2000/S$225*100</f>
        <v>43.223257157614285</v>
      </c>
      <c r="T237" s="110">
        <f>(SUMPRODUCT(T$8:T$217,Nutrients!$DI$8:$DI$217)+(IF($A$6=Nutrients!$B$8,Nutrients!$DI$8,Nutrients!$DI$9)*T$6)+(((IF($A$7=Nutrients!$B$79,Nutrients!$DI$79,(IF($A$7=Nutrients!$B$77,Nutrients!$DI$77,Nutrients!$DI$78)))))*T$7))/2000/T$225*100</f>
        <v>38.854272493329503</v>
      </c>
      <c r="U237" s="110">
        <f>(SUMPRODUCT(U$8:U$217,Nutrients!$DI$8:$DI$217)+(IF($A$6=Nutrients!$B$8,Nutrients!$DI$8,Nutrients!$DI$9)*U$6)+(((IF($A$7=Nutrients!$B$79,Nutrients!$DI$79,(IF($A$7=Nutrients!$B$77,Nutrients!$DI$77,Nutrients!$DI$78)))))*U$7))/2000/U$225*100</f>
        <v>34.928048955662611</v>
      </c>
      <c r="V237" s="434"/>
      <c r="W237" s="110">
        <f>(SUMPRODUCT(W$8:W$217,Nutrients!$DI$8:$DI$217)+(IF($A$6=Nutrients!$B$8,Nutrients!$DI$8,Nutrients!$DI$9)*W$6)+(((IF($A$7=Nutrients!$B$79,Nutrients!$DI$79,(IF($A$7=Nutrients!$B$77,Nutrients!$DI$77,Nutrients!$DI$78)))))*W$7))/2000/W$225*100</f>
        <v>71.442892187530788</v>
      </c>
      <c r="X237" s="110">
        <f>(SUMPRODUCT(X$8:X$217,Nutrients!$DI$8:$DI$217)+(IF($A$6=Nutrients!$B$8,Nutrients!$DI$8,Nutrients!$DI$9)*X$6)+(((IF($A$7=Nutrients!$B$79,Nutrients!$DI$79,(IF($A$7=Nutrients!$B$77,Nutrients!$DI$77,Nutrients!$DI$78)))))*X$7))/2000/X$225*100</f>
        <v>62.148824918881232</v>
      </c>
      <c r="Y237" s="110">
        <f>(SUMPRODUCT(Y$8:Y$217,Nutrients!$DI$8:$DI$217)+(IF($A$6=Nutrients!$B$8,Nutrients!$DI$8,Nutrients!$DI$9)*Y$6)+(((IF($A$7=Nutrients!$B$79,Nutrients!$DI$79,(IF($A$7=Nutrients!$B$77,Nutrients!$DI$77,Nutrients!$DI$78)))))*Y$7))/2000/Y$225*100</f>
        <v>54.661937396913544</v>
      </c>
      <c r="Z237" s="110">
        <f>(SUMPRODUCT(Z$8:Z$217,Nutrients!$DI$8:$DI$217)+(IF($A$6=Nutrients!$B$8,Nutrients!$DI$8,Nutrients!$DI$9)*Z$6)+(((IF($A$7=Nutrients!$B$79,Nutrients!$DI$79,(IF($A$7=Nutrients!$B$77,Nutrients!$DI$77,Nutrients!$DI$78)))))*Z$7))/2000/Z$225*100</f>
        <v>48.369800540561208</v>
      </c>
      <c r="AA237" s="110">
        <f>(SUMPRODUCT(AA$8:AA$217,Nutrients!$DI$8:$DI$217)+(IF($A$6=Nutrients!$B$8,Nutrients!$DI$8,Nutrients!$DI$9)*AA$6)+(((IF($A$7=Nutrients!$B$79,Nutrients!$DI$79,(IF($A$7=Nutrients!$B$77,Nutrients!$DI$77,Nutrients!$DI$78)))))*AA$7))/2000/AA$225*100</f>
        <v>43.223257157614285</v>
      </c>
      <c r="AB237" s="110">
        <f>(SUMPRODUCT(AB$8:AB$217,Nutrients!$DI$8:$DI$217)+(IF($A$6=Nutrients!$B$8,Nutrients!$DI$8,Nutrients!$DI$9)*AB$6)+(((IF($A$7=Nutrients!$B$79,Nutrients!$DI$79,(IF($A$7=Nutrients!$B$77,Nutrients!$DI$77,Nutrients!$DI$78)))))*AB$7))/2000/AB$225*100</f>
        <v>38.854272493329503</v>
      </c>
      <c r="AC237" s="110">
        <f>(SUMPRODUCT(AC$8:AC$217,Nutrients!$DI$8:$DI$217)+(IF($A$6=Nutrients!$B$8,Nutrients!$DI$8,Nutrients!$DI$9)*AC$6)+(((IF($A$7=Nutrients!$B$79,Nutrients!$DI$79,(IF($A$7=Nutrients!$B$77,Nutrients!$DI$77,Nutrients!$DI$78)))))*AC$7))/2000/AC$225*100</f>
        <v>34.928048955662611</v>
      </c>
      <c r="AD237" s="434"/>
      <c r="AE237" s="110">
        <f>(SUMPRODUCT(AE$8:AE$217,Nutrients!$DI$8:$DI$217)+(IF($A$6=Nutrients!$B$8,Nutrients!$DI$8,Nutrients!$DI$9)*AE$6)+(((IF($A$7=Nutrients!$B$79,Nutrients!$DI$79,(IF($A$7=Nutrients!$B$77,Nutrients!$DI$77,Nutrients!$DI$78)))))*AE$7))/2000/AE$225*100</f>
        <v>98.739947628370331</v>
      </c>
      <c r="AF237" s="110">
        <f>(SUMPRODUCT(AF$8:AF$217,Nutrients!$DI$8:$DI$217)+(IF($A$6=Nutrients!$B$8,Nutrients!$DI$8,Nutrients!$DI$9)*AF$6)+(((IF($A$7=Nutrients!$B$79,Nutrients!$DI$79,(IF($A$7=Nutrients!$B$77,Nutrients!$DI$77,Nutrients!$DI$78)))))*AF$7))/2000/AF$225*100</f>
        <v>83.817169708826654</v>
      </c>
      <c r="AG237" s="110">
        <f>(SUMPRODUCT(AG$8:AG$217,Nutrients!$DI$8:$DI$217)+(IF($A$6=Nutrients!$B$8,Nutrients!$DI$8,Nutrients!$DI$9)*AG$6)+(((IF($A$7=Nutrients!$B$79,Nutrients!$DI$79,(IF($A$7=Nutrients!$B$77,Nutrients!$DI$77,Nutrients!$DI$78)))))*AG$7))/2000/AG$225*100</f>
        <v>72.559635488820035</v>
      </c>
      <c r="AH237" s="110">
        <f>(SUMPRODUCT(AH$8:AH$217,Nutrients!$DI$8:$DI$217)+(IF($A$6=Nutrients!$B$8,Nutrients!$DI$8,Nutrients!$DI$9)*AH$6)+(((IF($A$7=Nutrients!$B$79,Nutrients!$DI$79,(IF($A$7=Nutrients!$B$77,Nutrients!$DI$77,Nutrients!$DI$78)))))*AH$7))/2000/AH$225*100</f>
        <v>63.764686879439878</v>
      </c>
      <c r="AI237" s="110">
        <f>(SUMPRODUCT(AI$8:AI$217,Nutrients!$DI$8:$DI$217)+(IF($A$6=Nutrients!$B$8,Nutrients!$DI$8,Nutrients!$DI$9)*AI$6)+(((IF($A$7=Nutrients!$B$79,Nutrients!$DI$79,(IF($A$7=Nutrients!$B$77,Nutrients!$DI$77,Nutrients!$DI$78)))))*AI$7))/2000/AI$225*100</f>
        <v>56.703953488810711</v>
      </c>
      <c r="AJ237" s="110">
        <f>(SUMPRODUCT(AJ$8:AJ$217,Nutrients!$DI$8:$DI$217)+(IF($A$6=Nutrients!$B$8,Nutrients!$DI$8,Nutrients!$DI$9)*AJ$6)+(((IF($A$7=Nutrients!$B$79,Nutrients!$DI$79,(IF($A$7=Nutrients!$B$77,Nutrients!$DI$77,Nutrients!$DI$78)))))*AJ$7))/2000/AJ$225*100</f>
        <v>50.014934699585424</v>
      </c>
      <c r="AK237" s="110"/>
      <c r="AL237" s="110"/>
    </row>
    <row r="238" spans="1:38" x14ac:dyDescent="0.15">
      <c r="A238" s="98" t="s">
        <v>404</v>
      </c>
      <c r="B238" s="110">
        <f>(SUMPRODUCT(B$8:B$217,Nutrients!$DJ$8:$DJ$217)+(IF($A$6=Nutrients!$B$8,Nutrients!$DJ$8,Nutrients!$DJ$9)*B$6)+(((IF($A$7=Nutrients!$B$79,Nutrients!$DJ$79,(IF($A$7=Nutrients!$B$77,Nutrients!$DJ$77,Nutrients!$DJ$78)))))*B$7))/2000/B$225*100</f>
        <v>29.600199895811226</v>
      </c>
      <c r="C238" s="110">
        <f>(SUMPRODUCT(C$8:C$217,Nutrients!$DJ$8:$DJ$217)+(IF($A$6=Nutrients!$B$8,Nutrients!$DJ$8,Nutrients!$DJ$9)*C$6)+(((IF($A$7=Nutrients!$B$79,Nutrients!$DJ$79,(IF($A$7=Nutrients!$B$77,Nutrients!$DJ$77,Nutrients!$DJ$78)))))*C$7))/2000/C$225*100</f>
        <v>25.807963995338369</v>
      </c>
      <c r="D238" s="110">
        <f>(SUMPRODUCT(D$8:D$217,Nutrients!$DJ$8:$DJ$217)+(IF($A$6=Nutrients!$B$8,Nutrients!$DJ$8,Nutrients!$DJ$9)*D$6)+(((IF($A$7=Nutrients!$B$79,Nutrients!$DJ$79,(IF($A$7=Nutrients!$B$77,Nutrients!$DJ$77,Nutrients!$DJ$78)))))*D$7))/2000/D$225*100</f>
        <v>22.634385145749985</v>
      </c>
      <c r="E238" s="110">
        <f>(SUMPRODUCT(E$8:E$217,Nutrients!$DJ$8:$DJ$217)+(IF($A$6=Nutrients!$B$8,Nutrients!$DJ$8,Nutrients!$DJ$9)*E$6)+(((IF($A$7=Nutrients!$B$79,Nutrients!$DJ$79,(IF($A$7=Nutrients!$B$77,Nutrients!$DJ$77,Nutrients!$DJ$78)))))*E$7))/2000/E$225*100</f>
        <v>19.956107973695286</v>
      </c>
      <c r="F238" s="110">
        <f>(SUMPRODUCT(F$8:F$217,Nutrients!$DJ$8:$DJ$217)+(IF($A$6=Nutrients!$B$8,Nutrients!$DJ$8,Nutrients!$DJ$9)*F$6)+(((IF($A$7=Nutrients!$B$79,Nutrients!$DJ$79,(IF($A$7=Nutrients!$B$77,Nutrients!$DJ$77,Nutrients!$DJ$78)))))*F$7))/2000/F$225*100</f>
        <v>17.650609957423981</v>
      </c>
      <c r="G238" s="110">
        <f>(SUMPRODUCT(G$8:G$217,Nutrients!$DJ$8:$DJ$217)+(IF($A$6=Nutrients!$B$8,Nutrients!$DJ$8,Nutrients!$DJ$9)*G$6)+(((IF($A$7=Nutrients!$B$79,Nutrients!$DJ$79,(IF($A$7=Nutrients!$B$77,Nutrients!$DJ$77,Nutrients!$DJ$78)))))*G$7))/2000/G$225*100</f>
        <v>15.678511507471219</v>
      </c>
      <c r="H238" s="434"/>
      <c r="I238" s="110">
        <f>(SUMPRODUCT(I$8:I$217,Nutrients!$DJ$8:$DJ$217)+(IF($A$6=Nutrients!$B$8,Nutrients!$DJ$8,Nutrients!$DJ$9)*I$6)+(((IF($A$7=Nutrients!$B$79,Nutrients!$DJ$79,(IF($A$7=Nutrients!$B$77,Nutrients!$DJ$77,Nutrients!$DJ$78)))))*I$7))/2000/I$225*100</f>
        <v>41.920905137176447</v>
      </c>
      <c r="J238" s="110">
        <f>(SUMPRODUCT(J$8:J$217,Nutrients!$DJ$8:$DJ$217)+(IF($A$6=Nutrients!$B$8,Nutrients!$DJ$8,Nutrients!$DJ$9)*J$6)+(((IF($A$7=Nutrients!$B$79,Nutrients!$DJ$79,(IF($A$7=Nutrients!$B$77,Nutrients!$DJ$77,Nutrients!$DJ$78)))))*J$7))/2000/J$225*100</f>
        <v>36.763887956159941</v>
      </c>
      <c r="K238" s="110">
        <f>(SUMPRODUCT(K$8:K$217,Nutrients!$DJ$8:$DJ$217)+(IF($A$6=Nutrients!$B$8,Nutrients!$DJ$8,Nutrients!$DJ$9)*K$6)+(((IF($A$7=Nutrients!$B$79,Nutrients!$DJ$79,(IF($A$7=Nutrients!$B$77,Nutrients!$DJ$77,Nutrients!$DJ$78)))))*K$7))/2000/K$225*100</f>
        <v>32.43769735465829</v>
      </c>
      <c r="L238" s="110">
        <f>(SUMPRODUCT(L$8:L$217,Nutrients!$DJ$8:$DJ$217)+(IF($A$6=Nutrients!$B$8,Nutrients!$DJ$8,Nutrients!$DJ$9)*L$6)+(((IF($A$7=Nutrients!$B$79,Nutrients!$DJ$79,(IF($A$7=Nutrients!$B$77,Nutrients!$DJ$77,Nutrients!$DJ$78)))))*L$7))/2000/L$225*100</f>
        <v>28.867320864889994</v>
      </c>
      <c r="M238" s="110">
        <f>(SUMPRODUCT(M$8:M$217,Nutrients!$DJ$8:$DJ$217)+(IF($A$6=Nutrients!$B$8,Nutrients!$DJ$8,Nutrients!$DJ$9)*M$6)+(((IF($A$7=Nutrients!$B$79,Nutrients!$DJ$79,(IF($A$7=Nutrients!$B$77,Nutrients!$DJ$77,Nutrients!$DJ$78)))))*M$7))/2000/M$225*100</f>
        <v>25.723197998693546</v>
      </c>
      <c r="N238" s="110">
        <f>(SUMPRODUCT(N$8:N$217,Nutrients!$DJ$8:$DJ$217)+(IF($A$6=Nutrients!$B$8,Nutrients!$DJ$8,Nutrients!$DJ$9)*N$6)+(((IF($A$7=Nutrients!$B$79,Nutrients!$DJ$79,(IF($A$7=Nutrients!$B$77,Nutrients!$DJ$77,Nutrients!$DJ$78)))))*N$7))/2000/N$225*100</f>
        <v>23.017409037315257</v>
      </c>
      <c r="O238" s="434"/>
      <c r="P238" s="110">
        <f>(SUMPRODUCT(P$8:P$217,Nutrients!$DJ$8:$DJ$217)+(IF($A$6=Nutrients!$B$8,Nutrients!$DJ$8,Nutrients!$DJ$9)*P$6)+(((IF($A$7=Nutrients!$B$79,Nutrients!$DJ$79,(IF($A$7=Nutrients!$B$77,Nutrients!$DJ$77,Nutrients!$DJ$78)))))*P$7))/2000/P$225*100</f>
        <v>54.552857428795761</v>
      </c>
      <c r="Q238" s="110">
        <f>(SUMPRODUCT(Q$8:Q$217,Nutrients!$DJ$8:$DJ$217)+(IF($A$6=Nutrients!$B$8,Nutrients!$DJ$8,Nutrients!$DJ$9)*Q$6)+(((IF($A$7=Nutrients!$B$79,Nutrients!$DJ$79,(IF($A$7=Nutrients!$B$77,Nutrients!$DJ$77,Nutrients!$DJ$78)))))*Q$7))/2000/Q$225*100</f>
        <v>47.981033937290775</v>
      </c>
      <c r="R238" s="110">
        <f>(SUMPRODUCT(R$8:R$217,Nutrients!$DJ$8:$DJ$217)+(IF($A$6=Nutrients!$B$8,Nutrients!$DJ$8,Nutrients!$DJ$9)*R$6)+(((IF($A$7=Nutrients!$B$79,Nutrients!$DJ$79,(IF($A$7=Nutrients!$B$77,Nutrients!$DJ$77,Nutrients!$DJ$78)))))*R$7))/2000/R$225*100</f>
        <v>42.457936030048181</v>
      </c>
      <c r="S238" s="110">
        <f>(SUMPRODUCT(S$8:S$217,Nutrients!$DJ$8:$DJ$217)+(IF($A$6=Nutrients!$B$8,Nutrients!$DJ$8,Nutrients!$DJ$9)*S$6)+(((IF($A$7=Nutrients!$B$79,Nutrients!$DJ$79,(IF($A$7=Nutrients!$B$77,Nutrients!$DJ$77,Nutrients!$DJ$78)))))*S$7))/2000/S$225*100</f>
        <v>37.940414616128102</v>
      </c>
      <c r="T238" s="110">
        <f>(SUMPRODUCT(T$8:T$217,Nutrients!$DJ$8:$DJ$217)+(IF($A$6=Nutrients!$B$8,Nutrients!$DJ$8,Nutrients!$DJ$9)*T$6)+(((IF($A$7=Nutrients!$B$79,Nutrients!$DJ$79,(IF($A$7=Nutrients!$B$77,Nutrients!$DJ$77,Nutrients!$DJ$78)))))*T$7))/2000/T$225*100</f>
        <v>34.105416966367009</v>
      </c>
      <c r="U238" s="110">
        <f>(SUMPRODUCT(U$8:U$217,Nutrients!$DJ$8:$DJ$217)+(IF($A$6=Nutrients!$B$8,Nutrients!$DJ$8,Nutrients!$DJ$9)*U$6)+(((IF($A$7=Nutrients!$B$79,Nutrients!$DJ$79,(IF($A$7=Nutrients!$B$77,Nutrients!$DJ$77,Nutrients!$DJ$78)))))*U$7))/2000/U$225*100</f>
        <v>30.659065194414957</v>
      </c>
      <c r="V238" s="434"/>
      <c r="W238" s="110">
        <f>(SUMPRODUCT(W$8:W$217,Nutrients!$DJ$8:$DJ$217)+(IF($A$6=Nutrients!$B$8,Nutrients!$DJ$8,Nutrients!$DJ$9)*W$6)+(((IF($A$7=Nutrients!$B$79,Nutrients!$DJ$79,(IF($A$7=Nutrients!$B$77,Nutrients!$DJ$77,Nutrients!$DJ$78)))))*W$7))/2000/W$225*100</f>
        <v>62.710983142388152</v>
      </c>
      <c r="X238" s="110">
        <f>(SUMPRODUCT(X$8:X$217,Nutrients!$DJ$8:$DJ$217)+(IF($A$6=Nutrients!$B$8,Nutrients!$DJ$8,Nutrients!$DJ$9)*X$6)+(((IF($A$7=Nutrients!$B$79,Nutrients!$DJ$79,(IF($A$7=Nutrients!$B$77,Nutrients!$DJ$77,Nutrients!$DJ$78)))))*X$7))/2000/X$225*100</f>
        <v>54.552857428795761</v>
      </c>
      <c r="Y238" s="110">
        <f>(SUMPRODUCT(Y$8:Y$217,Nutrients!$DJ$8:$DJ$217)+(IF($A$6=Nutrients!$B$8,Nutrients!$DJ$8,Nutrients!$DJ$9)*Y$6)+(((IF($A$7=Nutrients!$B$79,Nutrients!$DJ$79,(IF($A$7=Nutrients!$B$77,Nutrients!$DJ$77,Nutrients!$DJ$78)))))*Y$7))/2000/Y$225*100</f>
        <v>47.981033937290775</v>
      </c>
      <c r="Z238" s="110">
        <f>(SUMPRODUCT(Z$8:Z$217,Nutrients!$DJ$8:$DJ$217)+(IF($A$6=Nutrients!$B$8,Nutrients!$DJ$8,Nutrients!$DJ$9)*Z$6)+(((IF($A$7=Nutrients!$B$79,Nutrients!$DJ$79,(IF($A$7=Nutrients!$B$77,Nutrients!$DJ$77,Nutrients!$DJ$78)))))*Z$7))/2000/Z$225*100</f>
        <v>42.457936030048181</v>
      </c>
      <c r="AA238" s="110">
        <f>(SUMPRODUCT(AA$8:AA$217,Nutrients!$DJ$8:$DJ$217)+(IF($A$6=Nutrients!$B$8,Nutrients!$DJ$8,Nutrients!$DJ$9)*AA$6)+(((IF($A$7=Nutrients!$B$79,Nutrients!$DJ$79,(IF($A$7=Nutrients!$B$77,Nutrients!$DJ$77,Nutrients!$DJ$78)))))*AA$7))/2000/AA$225*100</f>
        <v>37.940414616128102</v>
      </c>
      <c r="AB238" s="110">
        <f>(SUMPRODUCT(AB$8:AB$217,Nutrients!$DJ$8:$DJ$217)+(IF($A$6=Nutrients!$B$8,Nutrients!$DJ$8,Nutrients!$DJ$9)*AB$6)+(((IF($A$7=Nutrients!$B$79,Nutrients!$DJ$79,(IF($A$7=Nutrients!$B$77,Nutrients!$DJ$77,Nutrients!$DJ$78)))))*AB$7))/2000/AB$225*100</f>
        <v>34.105416966367009</v>
      </c>
      <c r="AC238" s="110">
        <f>(SUMPRODUCT(AC$8:AC$217,Nutrients!$DJ$8:$DJ$217)+(IF($A$6=Nutrients!$B$8,Nutrients!$DJ$8,Nutrients!$DJ$9)*AC$6)+(((IF($A$7=Nutrients!$B$79,Nutrients!$DJ$79,(IF($A$7=Nutrients!$B$77,Nutrients!$DJ$77,Nutrients!$DJ$78)))))*AC$7))/2000/AC$225*100</f>
        <v>30.659065194414957</v>
      </c>
      <c r="AD238" s="434"/>
      <c r="AE238" s="110">
        <f>(SUMPRODUCT(AE$8:AE$217,Nutrients!$DJ$8:$DJ$217)+(IF($A$6=Nutrients!$B$8,Nutrients!$DJ$8,Nutrients!$DJ$9)*AE$6)+(((IF($A$7=Nutrients!$B$79,Nutrients!$DJ$79,(IF($A$7=Nutrients!$B$77,Nutrients!$DJ$77,Nutrients!$DJ$78)))))*AE$7))/2000/AE$225*100</f>
        <v>86.67173180712507</v>
      </c>
      <c r="AF238" s="110">
        <f>(SUMPRODUCT(AF$8:AF$217,Nutrients!$DJ$8:$DJ$217)+(IF($A$6=Nutrients!$B$8,Nutrients!$DJ$8,Nutrients!$DJ$9)*AF$6)+(((IF($A$7=Nutrients!$B$79,Nutrients!$DJ$79,(IF($A$7=Nutrients!$B$77,Nutrients!$DJ$77,Nutrients!$DJ$78)))))*AF$7))/2000/AF$225*100</f>
        <v>73.572848966636741</v>
      </c>
      <c r="AG238" s="110">
        <f>(SUMPRODUCT(AG$8:AG$217,Nutrients!$DJ$8:$DJ$217)+(IF($A$6=Nutrients!$B$8,Nutrients!$DJ$8,Nutrients!$DJ$9)*AG$6)+(((IF($A$7=Nutrients!$B$79,Nutrients!$DJ$79,(IF($A$7=Nutrients!$B$77,Nutrients!$DJ$77,Nutrients!$DJ$78)))))*AG$7))/2000/AG$225*100</f>
        <v>63.691235595742043</v>
      </c>
      <c r="AH238" s="110">
        <f>(SUMPRODUCT(AH$8:AH$217,Nutrients!$DJ$8:$DJ$217)+(IF($A$6=Nutrients!$B$8,Nutrients!$DJ$8,Nutrients!$DJ$9)*AH$6)+(((IF($A$7=Nutrients!$B$79,Nutrients!$DJ$79,(IF($A$7=Nutrients!$B$77,Nutrients!$DJ$77,Nutrients!$DJ$78)))))*AH$7))/2000/AH$225*100</f>
        <v>55.971225149730564</v>
      </c>
      <c r="AI238" s="110">
        <f>(SUMPRODUCT(AI$8:AI$217,Nutrients!$DJ$8:$DJ$217)+(IF($A$6=Nutrients!$B$8,Nutrients!$DJ$8,Nutrients!$DJ$9)*AI$6)+(((IF($A$7=Nutrients!$B$79,Nutrients!$DJ$79,(IF($A$7=Nutrients!$B$77,Nutrients!$DJ$77,Nutrients!$DJ$78)))))*AI$7))/2000/AI$225*100</f>
        <v>49.773470284622739</v>
      </c>
      <c r="AJ238" s="110">
        <f>(SUMPRODUCT(AJ$8:AJ$217,Nutrients!$DJ$8:$DJ$217)+(IF($A$6=Nutrients!$B$8,Nutrients!$DJ$8,Nutrients!$DJ$9)*AJ$6)+(((IF($A$7=Nutrients!$B$79,Nutrients!$DJ$79,(IF($A$7=Nutrients!$B$77,Nutrients!$DJ$77,Nutrients!$DJ$78)))))*AJ$7))/2000/AJ$225*100</f>
        <v>43.901998236302759</v>
      </c>
      <c r="AK238" s="110"/>
      <c r="AL238" s="110"/>
    </row>
    <row r="239" spans="1:38" x14ac:dyDescent="0.15">
      <c r="A239" s="98" t="s">
        <v>405</v>
      </c>
      <c r="B239" s="110">
        <f>(SUMPRODUCT(B$8:B$217,Nutrients!$DL$8:$DL$217)+(IF($A$6=Nutrients!$B$8,Nutrients!$DL$8,Nutrients!$DL$9)*B$6)+(((IF($A$7=Nutrients!$B$79,Nutrients!$DL$79,(IF($A$7=Nutrients!$B$77,Nutrients!$DL$77,Nutrients!$DL$78)))))*B$7))/2000/B$225*100</f>
        <v>86.261060737160122</v>
      </c>
      <c r="C239" s="110">
        <f>(SUMPRODUCT(C$8:C$217,Nutrients!$DL$8:$DL$217)+(IF($A$6=Nutrients!$B$8,Nutrients!$DL$8,Nutrients!$DL$9)*C$6)+(((IF($A$7=Nutrients!$B$79,Nutrients!$DL$79,(IF($A$7=Nutrients!$B$77,Nutrients!$DL$77,Nutrients!$DL$78)))))*C$7))/2000/C$225*100</f>
        <v>75.209706608074683</v>
      </c>
      <c r="D239" s="110">
        <f>(SUMPRODUCT(D$8:D$217,Nutrients!$DL$8:$DL$217)+(IF($A$6=Nutrients!$B$8,Nutrients!$DL$8,Nutrients!$DL$9)*D$6)+(((IF($A$7=Nutrients!$B$79,Nutrients!$DL$79,(IF($A$7=Nutrients!$B$77,Nutrients!$DL$77,Nutrients!$DL$78)))))*D$7))/2000/D$225*100</f>
        <v>65.961246163141979</v>
      </c>
      <c r="E239" s="110">
        <f>(SUMPRODUCT(E$8:E$217,Nutrients!$DL$8:$DL$217)+(IF($A$6=Nutrients!$B$8,Nutrients!$DL$8,Nutrients!$DL$9)*E$6)+(((IF($A$7=Nutrients!$B$79,Nutrients!$DL$79,(IF($A$7=Nutrients!$B$77,Nutrients!$DL$77,Nutrients!$DL$78)))))*E$7))/2000/E$225*100</f>
        <v>58.156196514059943</v>
      </c>
      <c r="F239" s="110">
        <f>(SUMPRODUCT(F$8:F$217,Nutrients!$DL$8:$DL$217)+(IF($A$6=Nutrients!$B$8,Nutrients!$DL$8,Nutrients!$DL$9)*F$6)+(((IF($A$7=Nutrients!$B$79,Nutrients!$DL$79,(IF($A$7=Nutrients!$B$77,Nutrients!$DL$77,Nutrients!$DL$78)))))*F$7))/2000/F$225*100</f>
        <v>51.437501873111792</v>
      </c>
      <c r="G239" s="110">
        <f>(SUMPRODUCT(G$8:G$217,Nutrients!$DL$8:$DL$217)+(IF($A$6=Nutrients!$B$8,Nutrients!$DL$8,Nutrients!$DL$9)*G$6)+(((IF($A$7=Nutrients!$B$79,Nutrients!$DL$79,(IF($A$7=Nutrients!$B$77,Nutrients!$DL$77,Nutrients!$DL$78)))))*G$7))/2000/G$225*100</f>
        <v>45.69040203021148</v>
      </c>
      <c r="H239" s="434"/>
      <c r="I239" s="110">
        <f>(SUMPRODUCT(I$8:I$217,Nutrients!$DL$8:$DL$217)+(IF($A$6=Nutrients!$B$8,Nutrients!$DL$8,Nutrients!$DL$9)*I$6)+(((IF($A$7=Nutrients!$B$79,Nutrients!$DL$79,(IF($A$7=Nutrients!$B$77,Nutrients!$DL$77,Nutrients!$DL$78)))))*I$7))/2000/I$225*100</f>
        <v>122.16612580060419</v>
      </c>
      <c r="J239" s="110">
        <f>(SUMPRODUCT(J$8:J$217,Nutrients!$DL$8:$DL$217)+(IF($A$6=Nutrients!$B$8,Nutrients!$DL$8,Nutrients!$DL$9)*J$6)+(((IF($A$7=Nutrients!$B$79,Nutrients!$DL$79,(IF($A$7=Nutrients!$B$77,Nutrients!$DL$77,Nutrients!$DL$78)))))*J$7))/2000/J$225*100</f>
        <v>107.13751876956876</v>
      </c>
      <c r="K239" s="110">
        <f>(SUMPRODUCT(K$8:K$217,Nutrients!$DL$8:$DL$217)+(IF($A$6=Nutrients!$B$8,Nutrients!$DL$8,Nutrients!$DL$9)*K$6)+(((IF($A$7=Nutrients!$B$79,Nutrients!$DL$79,(IF($A$7=Nutrients!$B$77,Nutrients!$DL$77,Nutrients!$DL$78)))))*K$7))/2000/K$225*100</f>
        <v>94.530110996978863</v>
      </c>
      <c r="L239" s="110">
        <f>(SUMPRODUCT(L$8:L$217,Nutrients!$DL$8:$DL$217)+(IF($A$6=Nutrients!$B$8,Nutrients!$DL$8,Nutrients!$DL$9)*L$6)+(((IF($A$7=Nutrients!$B$79,Nutrients!$DL$79,(IF($A$7=Nutrients!$B$77,Nutrients!$DL$77,Nutrients!$DL$78)))))*L$7))/2000/L$225*100</f>
        <v>84.125300748315112</v>
      </c>
      <c r="M239" s="110">
        <f>(SUMPRODUCT(M$8:M$217,Nutrients!$DL$8:$DL$217)+(IF($A$6=Nutrients!$B$8,Nutrients!$DL$8,Nutrients!$DL$9)*M$6)+(((IF($A$7=Nutrients!$B$79,Nutrients!$DL$79,(IF($A$7=Nutrients!$B$77,Nutrients!$DL$77,Nutrients!$DL$78)))))*M$7))/2000/M$225*100</f>
        <v>74.962681087613262</v>
      </c>
      <c r="N239" s="110">
        <f>(SUMPRODUCT(N$8:N$217,Nutrients!$DL$8:$DL$217)+(IF($A$6=Nutrients!$B$8,Nutrients!$DL$8,Nutrients!$DL$9)*N$6)+(((IF($A$7=Nutrients!$B$79,Nutrients!$DL$79,(IF($A$7=Nutrients!$B$77,Nutrients!$DL$77,Nutrients!$DL$78)))))*N$7))/2000/N$225*100</f>
        <v>67.077456435045306</v>
      </c>
      <c r="O239" s="434"/>
      <c r="P239" s="110">
        <f>(SUMPRODUCT(P$8:P$217,Nutrients!$DL$8:$DL$217)+(IF($A$6=Nutrients!$B$8,Nutrients!$DL$8,Nutrients!$DL$9)*P$6)+(((IF($A$7=Nutrients!$B$79,Nutrients!$DL$79,(IF($A$7=Nutrients!$B$77,Nutrients!$DL$77,Nutrients!$DL$78)))))*P$7))/2000/P$225*100</f>
        <v>158.97822868138505</v>
      </c>
      <c r="Q239" s="110">
        <f>(SUMPRODUCT(Q$8:Q$217,Nutrients!$DL$8:$DL$217)+(IF($A$6=Nutrients!$B$8,Nutrients!$DL$8,Nutrients!$DL$9)*Q$6)+(((IF($A$7=Nutrients!$B$79,Nutrients!$DL$79,(IF($A$7=Nutrients!$B$77,Nutrients!$DL$77,Nutrients!$DL$78)))))*Q$7))/2000/Q$225*100</f>
        <v>139.82658553877138</v>
      </c>
      <c r="R239" s="110">
        <f>(SUMPRODUCT(R$8:R$217,Nutrients!$DL$8:$DL$217)+(IF($A$6=Nutrients!$B$8,Nutrients!$DL$8,Nutrients!$DL$9)*R$6)+(((IF($A$7=Nutrients!$B$79,Nutrients!$DL$79,(IF($A$7=Nutrients!$B$77,Nutrients!$DL$77,Nutrients!$DL$78)))))*R$7))/2000/R$225*100</f>
        <v>123.73114409881829</v>
      </c>
      <c r="S239" s="110">
        <f>(SUMPRODUCT(S$8:S$217,Nutrients!$DL$8:$DL$217)+(IF($A$6=Nutrients!$B$8,Nutrients!$DL$8,Nutrients!$DL$9)*S$6)+(((IF($A$7=Nutrients!$B$79,Nutrients!$DL$79,(IF($A$7=Nutrients!$B$77,Nutrients!$DL$77,Nutrients!$DL$78)))))*S$7))/2000/S$225*100</f>
        <v>110.56615905009481</v>
      </c>
      <c r="T239" s="110">
        <f>(SUMPRODUCT(T$8:T$217,Nutrients!$DL$8:$DL$217)+(IF($A$6=Nutrients!$B$8,Nutrients!$DL$8,Nutrients!$DL$9)*T$6)+(((IF($A$7=Nutrients!$B$79,Nutrients!$DL$79,(IF($A$7=Nutrients!$B$77,Nutrients!$DL$77,Nutrients!$DL$78)))))*T$7))/2000/T$225*100</f>
        <v>99.390188402689773</v>
      </c>
      <c r="U239" s="110">
        <f>(SUMPRODUCT(U$8:U$217,Nutrients!$DL$8:$DL$217)+(IF($A$6=Nutrients!$B$8,Nutrients!$DL$8,Nutrients!$DL$9)*U$6)+(((IF($A$7=Nutrients!$B$79,Nutrients!$DL$79,(IF($A$7=Nutrients!$B$77,Nutrients!$DL$77,Nutrients!$DL$78)))))*U$7))/2000/U$225*100</f>
        <v>89.346811649546808</v>
      </c>
      <c r="V239" s="434"/>
      <c r="W239" s="110">
        <f>(SUMPRODUCT(W$8:W$217,Nutrients!$DL$8:$DL$217)+(IF($A$6=Nutrients!$B$8,Nutrients!$DL$8,Nutrients!$DL$9)*W$6)+(((IF($A$7=Nutrients!$B$79,Nutrients!$DL$79,(IF($A$7=Nutrients!$B$77,Nutrients!$DL$77,Nutrients!$DL$78)))))*W$7))/2000/W$225*100</f>
        <v>182.75268223773307</v>
      </c>
      <c r="X239" s="110">
        <f>(SUMPRODUCT(X$8:X$217,Nutrients!$DL$8:$DL$217)+(IF($A$6=Nutrients!$B$8,Nutrients!$DL$8,Nutrients!$DL$9)*X$6)+(((IF($A$7=Nutrients!$B$79,Nutrients!$DL$79,(IF($A$7=Nutrients!$B$77,Nutrients!$DL$77,Nutrients!$DL$78)))))*X$7))/2000/X$225*100</f>
        <v>158.97822868138505</v>
      </c>
      <c r="Y239" s="110">
        <f>(SUMPRODUCT(Y$8:Y$217,Nutrients!$DL$8:$DL$217)+(IF($A$6=Nutrients!$B$8,Nutrients!$DL$8,Nutrients!$DL$9)*Y$6)+(((IF($A$7=Nutrients!$B$79,Nutrients!$DL$79,(IF($A$7=Nutrients!$B$77,Nutrients!$DL$77,Nutrients!$DL$78)))))*Y$7))/2000/Y$225*100</f>
        <v>139.82658553877138</v>
      </c>
      <c r="Z239" s="110">
        <f>(SUMPRODUCT(Z$8:Z$217,Nutrients!$DL$8:$DL$217)+(IF($A$6=Nutrients!$B$8,Nutrients!$DL$8,Nutrients!$DL$9)*Z$6)+(((IF($A$7=Nutrients!$B$79,Nutrients!$DL$79,(IF($A$7=Nutrients!$B$77,Nutrients!$DL$77,Nutrients!$DL$78)))))*Z$7))/2000/Z$225*100</f>
        <v>123.73114409881829</v>
      </c>
      <c r="AA239" s="110">
        <f>(SUMPRODUCT(AA$8:AA$217,Nutrients!$DL$8:$DL$217)+(IF($A$6=Nutrients!$B$8,Nutrients!$DL$8,Nutrients!$DL$9)*AA$6)+(((IF($A$7=Nutrients!$B$79,Nutrients!$DL$79,(IF($A$7=Nutrients!$B$77,Nutrients!$DL$77,Nutrients!$DL$78)))))*AA$7))/2000/AA$225*100</f>
        <v>110.56615905009481</v>
      </c>
      <c r="AB239" s="110">
        <f>(SUMPRODUCT(AB$8:AB$217,Nutrients!$DL$8:$DL$217)+(IF($A$6=Nutrients!$B$8,Nutrients!$DL$8,Nutrients!$DL$9)*AB$6)+(((IF($A$7=Nutrients!$B$79,Nutrients!$DL$79,(IF($A$7=Nutrients!$B$77,Nutrients!$DL$77,Nutrients!$DL$78)))))*AB$7))/2000/AB$225*100</f>
        <v>99.390188402689773</v>
      </c>
      <c r="AC239" s="110">
        <f>(SUMPRODUCT(AC$8:AC$217,Nutrients!$DL$8:$DL$217)+(IF($A$6=Nutrients!$B$8,Nutrients!$DL$8,Nutrients!$DL$9)*AC$6)+(((IF($A$7=Nutrients!$B$79,Nutrients!$DL$79,(IF($A$7=Nutrients!$B$77,Nutrients!$DL$77,Nutrients!$DL$78)))))*AC$7))/2000/AC$225*100</f>
        <v>89.346811649546808</v>
      </c>
      <c r="AD239" s="434"/>
      <c r="AE239" s="110">
        <f>(SUMPRODUCT(AE$8:AE$217,Nutrients!$DL$8:$DL$217)+(IF($A$6=Nutrients!$B$8,Nutrients!$DL$8,Nutrients!$DL$9)*AE$6)+(((IF($A$7=Nutrients!$B$79,Nutrients!$DL$79,(IF($A$7=Nutrients!$B$77,Nutrients!$DL$77,Nutrients!$DL$78)))))*AE$7))/2000/AE$225*100</f>
        <v>252.57922405676948</v>
      </c>
      <c r="AF239" s="110">
        <f>(SUMPRODUCT(AF$8:AF$217,Nutrients!$DL$8:$DL$217)+(IF($A$6=Nutrients!$B$8,Nutrients!$DL$8,Nutrients!$DL$9)*AF$6)+(((IF($A$7=Nutrients!$B$79,Nutrients!$DL$79,(IF($A$7=Nutrients!$B$77,Nutrients!$DL$77,Nutrients!$DL$78)))))*AF$7))/2000/AF$225*100</f>
        <v>214.40638967492447</v>
      </c>
      <c r="AG239" s="110">
        <f>(SUMPRODUCT(AG$8:AG$217,Nutrients!$DL$8:$DL$217)+(IF($A$6=Nutrients!$B$8,Nutrients!$DL$8,Nutrients!$DL$9)*AG$6)+(((IF($A$7=Nutrients!$B$79,Nutrients!$DL$79,(IF($A$7=Nutrients!$B$77,Nutrients!$DL$77,Nutrients!$DL$78)))))*AG$7))/2000/AG$225*100</f>
        <v>185.60933917633966</v>
      </c>
      <c r="AH239" s="110">
        <f>(SUMPRODUCT(AH$8:AH$217,Nutrients!$DL$8:$DL$217)+(IF($A$6=Nutrients!$B$8,Nutrients!$DL$8,Nutrients!$DL$9)*AH$6)+(((IF($A$7=Nutrients!$B$79,Nutrients!$DL$79,(IF($A$7=Nutrients!$B$77,Nutrients!$DL$77,Nutrients!$DL$78)))))*AH$7))/2000/AH$225*100</f>
        <v>163.11164347432029</v>
      </c>
      <c r="AI239" s="110">
        <f>(SUMPRODUCT(AI$8:AI$217,Nutrients!$DL$8:$DL$217)+(IF($A$6=Nutrients!$B$8,Nutrients!$DL$8,Nutrients!$DL$9)*AI$6)+(((IF($A$7=Nutrients!$B$79,Nutrients!$DL$79,(IF($A$7=Nutrients!$B$77,Nutrients!$DL$77,Nutrients!$DL$78)))))*AI$7))/2000/AI$225*100</f>
        <v>145.0501131219948</v>
      </c>
      <c r="AJ239" s="110">
        <f>(SUMPRODUCT(AJ$8:AJ$217,Nutrients!$DL$8:$DL$217)+(IF($A$6=Nutrients!$B$8,Nutrients!$DL$8,Nutrients!$DL$9)*AJ$6)+(((IF($A$7=Nutrients!$B$79,Nutrients!$DL$79,(IF($A$7=Nutrients!$B$77,Nutrients!$DL$77,Nutrients!$DL$78)))))*AJ$7))/2000/AJ$225*100</f>
        <v>127.93943789819875</v>
      </c>
      <c r="AK239" s="110"/>
      <c r="AL239" s="110"/>
    </row>
    <row r="240" spans="1:38" x14ac:dyDescent="0.15">
      <c r="A240" s="98" t="s">
        <v>406</v>
      </c>
      <c r="B240" s="110">
        <f>(SUMPRODUCT(B$8:B$217,Nutrients!$DM$8:$DM$217)+(IF($A$6=Nutrients!$B$8,Nutrients!$DM$8,Nutrients!$DM$9)*B$6)+(((IF($A$7=Nutrients!$B$79,Nutrients!$DM$79,(IF($A$7=Nutrients!$B$77,Nutrients!$DM$77,Nutrients!$DM$78)))))*B$7))/2000/B$225*100</f>
        <v>18.06819515440516</v>
      </c>
      <c r="C240" s="110">
        <f>(SUMPRODUCT(C$8:C$217,Nutrients!$DM$8:$DM$217)+(IF($A$6=Nutrients!$B$8,Nutrients!$DM$8,Nutrients!$DM$9)*C$6)+(((IF($A$7=Nutrients!$B$79,Nutrients!$DM$79,(IF($A$7=Nutrients!$B$77,Nutrients!$DM$77,Nutrients!$DM$78)))))*C$7))/2000/C$225*100</f>
        <v>15.753384492231856</v>
      </c>
      <c r="D240" s="110">
        <f>(SUMPRODUCT(D$8:D$217,Nutrients!$DM$8:$DM$217)+(IF($A$6=Nutrients!$B$8,Nutrients!$DM$8,Nutrients!$DM$9)*D$6)+(((IF($A$7=Nutrients!$B$79,Nutrients!$DM$79,(IF($A$7=Nutrients!$B$77,Nutrients!$DM$77,Nutrients!$DM$78)))))*D$7))/2000/D$225*100</f>
        <v>13.816206966604064</v>
      </c>
      <c r="E240" s="110">
        <f>(SUMPRODUCT(E$8:E$217,Nutrients!$DM$8:$DM$217)+(IF($A$6=Nutrients!$B$8,Nutrients!$DM$8,Nutrients!$DM$9)*E$6)+(((IF($A$7=Nutrients!$B$79,Nutrients!$DM$79,(IF($A$7=Nutrients!$B$77,Nutrients!$DM$77,Nutrients!$DM$78)))))*E$7))/2000/E$225*100</f>
        <v>12.1813654860531</v>
      </c>
      <c r="F240" s="110">
        <f>(SUMPRODUCT(F$8:F$217,Nutrients!$DM$8:$DM$217)+(IF($A$6=Nutrients!$B$8,Nutrients!$DM$8,Nutrients!$DM$9)*F$6)+(((IF($A$7=Nutrients!$B$79,Nutrients!$DM$79,(IF($A$7=Nutrients!$B$77,Nutrients!$DM$77,Nutrients!$DM$78)))))*F$7))/2000/F$225*100</f>
        <v>10.77407133828693</v>
      </c>
      <c r="G240" s="110">
        <f>(SUMPRODUCT(G$8:G$217,Nutrients!$DM$8:$DM$217)+(IF($A$6=Nutrients!$B$8,Nutrients!$DM$8,Nutrients!$DM$9)*G$6)+(((IF($A$7=Nutrients!$B$79,Nutrients!$DM$79,(IF($A$7=Nutrients!$B$77,Nutrients!$DM$77,Nutrients!$DM$78)))))*G$7))/2000/G$225*100</f>
        <v>9.5702869117334846</v>
      </c>
      <c r="H240" s="434"/>
      <c r="I240" s="110">
        <f>(SUMPRODUCT(I$8:I$217,Nutrients!$DM$8:$DM$217)+(IF($A$6=Nutrients!$B$8,Nutrients!$DM$8,Nutrients!$DM$9)*I$6)+(((IF($A$7=Nutrients!$B$79,Nutrients!$DM$79,(IF($A$7=Nutrients!$B$77,Nutrients!$DM$77,Nutrients!$DM$78)))))*I$7))/2000/I$225*100</f>
        <v>25.588850674450882</v>
      </c>
      <c r="J240" s="110">
        <f>(SUMPRODUCT(J$8:J$217,Nutrients!$DM$8:$DM$217)+(IF($A$6=Nutrients!$B$8,Nutrients!$DM$8,Nutrients!$DM$9)*J$6)+(((IF($A$7=Nutrients!$B$79,Nutrients!$DM$79,(IF($A$7=Nutrients!$B$77,Nutrients!$DM$77,Nutrients!$DM$78)))))*J$7))/2000/J$225*100</f>
        <v>22.440966769301564</v>
      </c>
      <c r="K240" s="110">
        <f>(SUMPRODUCT(K$8:K$217,Nutrients!$DM$8:$DM$217)+(IF($A$6=Nutrients!$B$8,Nutrients!$DM$8,Nutrients!$DM$9)*K$6)+(((IF($A$7=Nutrients!$B$79,Nutrients!$DM$79,(IF($A$7=Nutrients!$B$77,Nutrients!$DM$77,Nutrients!$DM$78)))))*K$7))/2000/K$225*100</f>
        <v>19.800225952069894</v>
      </c>
      <c r="L240" s="110">
        <f>(SUMPRODUCT(L$8:L$217,Nutrients!$DM$8:$DM$217)+(IF($A$6=Nutrients!$B$8,Nutrients!$DM$8,Nutrients!$DM$9)*L$6)+(((IF($A$7=Nutrients!$B$79,Nutrients!$DM$79,(IF($A$7=Nutrients!$B$77,Nutrients!$DM$77,Nutrients!$DM$78)))))*L$7))/2000/L$225*100</f>
        <v>17.620840021606544</v>
      </c>
      <c r="M240" s="110">
        <f>(SUMPRODUCT(M$8:M$217,Nutrients!$DM$8:$DM$217)+(IF($A$6=Nutrients!$B$8,Nutrients!$DM$8,Nutrients!$DM$9)*M$6)+(((IF($A$7=Nutrients!$B$79,Nutrients!$DM$79,(IF($A$7=Nutrients!$B$77,Nutrients!$DM$77,Nutrients!$DM$78)))))*M$7))/2000/M$225*100</f>
        <v>15.701642660243319</v>
      </c>
      <c r="N240" s="110">
        <f>(SUMPRODUCT(N$8:N$217,Nutrients!$DM$8:$DM$217)+(IF($A$6=Nutrients!$B$8,Nutrients!$DM$8,Nutrients!$DM$9)*N$6)+(((IF($A$7=Nutrients!$B$79,Nutrients!$DM$79,(IF($A$7=Nutrients!$B$77,Nutrients!$DM$77,Nutrients!$DM$78)))))*N$7))/2000/N$225*100</f>
        <v>14.050007766800029</v>
      </c>
      <c r="O240" s="434"/>
      <c r="P240" s="110">
        <f>(SUMPRODUCT(P$8:P$217,Nutrients!$DM$8:$DM$217)+(IF($A$6=Nutrients!$B$8,Nutrients!$DM$8,Nutrients!$DM$9)*P$6)+(((IF($A$7=Nutrients!$B$79,Nutrients!$DM$79,(IF($A$7=Nutrients!$B$77,Nutrients!$DM$77,Nutrients!$DM$78)))))*P$7))/2000/P$225*100</f>
        <v>33.299493845425246</v>
      </c>
      <c r="Q240" s="110">
        <f>(SUMPRODUCT(Q$8:Q$217,Nutrients!$DM$8:$DM$217)+(IF($A$6=Nutrients!$B$8,Nutrients!$DM$8,Nutrients!$DM$9)*Q$6)+(((IF($A$7=Nutrients!$B$79,Nutrients!$DM$79,(IF($A$7=Nutrients!$B$77,Nutrients!$DM$77,Nutrients!$DM$78)))))*Q$7))/2000/Q$225*100</f>
        <v>29.288001025012928</v>
      </c>
      <c r="R240" s="110">
        <f>(SUMPRODUCT(R$8:R$217,Nutrients!$DM$8:$DM$217)+(IF($A$6=Nutrients!$B$8,Nutrients!$DM$8,Nutrients!$DM$9)*R$6)+(((IF($A$7=Nutrients!$B$79,Nutrients!$DM$79,(IF($A$7=Nutrients!$B$77,Nutrients!$DM$77,Nutrients!$DM$78)))))*R$7))/2000/R$225*100</f>
        <v>25.916658561238968</v>
      </c>
      <c r="S240" s="110">
        <f>(SUMPRODUCT(S$8:S$217,Nutrients!$DM$8:$DM$217)+(IF($A$6=Nutrients!$B$8,Nutrients!$DM$8,Nutrients!$DM$9)*S$6)+(((IF($A$7=Nutrients!$B$79,Nutrients!$DM$79,(IF($A$7=Nutrients!$B$77,Nutrients!$DM$77,Nutrients!$DM$78)))))*S$7))/2000/S$225*100</f>
        <v>23.159127909141482</v>
      </c>
      <c r="T240" s="110">
        <f>(SUMPRODUCT(T$8:T$217,Nutrients!$DM$8:$DM$217)+(IF($A$6=Nutrients!$B$8,Nutrients!$DM$8,Nutrients!$DM$9)*T$6)+(((IF($A$7=Nutrients!$B$79,Nutrients!$DM$79,(IF($A$7=Nutrients!$B$77,Nutrients!$DM$77,Nutrients!$DM$78)))))*T$7))/2000/T$225*100</f>
        <v>20.818215138401236</v>
      </c>
      <c r="U240" s="110">
        <f>(SUMPRODUCT(U$8:U$217,Nutrients!$DM$8:$DM$217)+(IF($A$6=Nutrients!$B$8,Nutrients!$DM$8,Nutrients!$DM$9)*U$6)+(((IF($A$7=Nutrients!$B$79,Nutrients!$DM$79,(IF($A$7=Nutrients!$B$77,Nutrients!$DM$77,Nutrients!$DM$78)))))*U$7))/2000/U$225*100</f>
        <v>18.714534872540209</v>
      </c>
      <c r="V240" s="434"/>
      <c r="W240" s="110">
        <f>(SUMPRODUCT(W$8:W$217,Nutrients!$DM$8:$DM$217)+(IF($A$6=Nutrients!$B$8,Nutrients!$DM$8,Nutrients!$DM$9)*W$6)+(((IF($A$7=Nutrients!$B$79,Nutrients!$DM$79,(IF($A$7=Nutrients!$B$77,Nutrients!$DM$77,Nutrients!$DM$78)))))*W$7))/2000/W$225*100</f>
        <v>38.279278036281923</v>
      </c>
      <c r="X240" s="110">
        <f>(SUMPRODUCT(X$8:X$217,Nutrients!$DM$8:$DM$217)+(IF($A$6=Nutrients!$B$8,Nutrients!$DM$8,Nutrients!$DM$9)*X$6)+(((IF($A$7=Nutrients!$B$79,Nutrients!$DM$79,(IF($A$7=Nutrients!$B$77,Nutrients!$DM$77,Nutrients!$DM$78)))))*X$7))/2000/X$225*100</f>
        <v>33.299493845425246</v>
      </c>
      <c r="Y240" s="110">
        <f>(SUMPRODUCT(Y$8:Y$217,Nutrients!$DM$8:$DM$217)+(IF($A$6=Nutrients!$B$8,Nutrients!$DM$8,Nutrients!$DM$9)*Y$6)+(((IF($A$7=Nutrients!$B$79,Nutrients!$DM$79,(IF($A$7=Nutrients!$B$77,Nutrients!$DM$77,Nutrients!$DM$78)))))*Y$7))/2000/Y$225*100</f>
        <v>29.288001025012928</v>
      </c>
      <c r="Z240" s="110">
        <f>(SUMPRODUCT(Z$8:Z$217,Nutrients!$DM$8:$DM$217)+(IF($A$6=Nutrients!$B$8,Nutrients!$DM$8,Nutrients!$DM$9)*Z$6)+(((IF($A$7=Nutrients!$B$79,Nutrients!$DM$79,(IF($A$7=Nutrients!$B$77,Nutrients!$DM$77,Nutrients!$DM$78)))))*Z$7))/2000/Z$225*100</f>
        <v>25.916658561238968</v>
      </c>
      <c r="AA240" s="110">
        <f>(SUMPRODUCT(AA$8:AA$217,Nutrients!$DM$8:$DM$217)+(IF($A$6=Nutrients!$B$8,Nutrients!$DM$8,Nutrients!$DM$9)*AA$6)+(((IF($A$7=Nutrients!$B$79,Nutrients!$DM$79,(IF($A$7=Nutrients!$B$77,Nutrients!$DM$77,Nutrients!$DM$78)))))*AA$7))/2000/AA$225*100</f>
        <v>23.159127909141482</v>
      </c>
      <c r="AB240" s="110">
        <f>(SUMPRODUCT(AB$8:AB$217,Nutrients!$DM$8:$DM$217)+(IF($A$6=Nutrients!$B$8,Nutrients!$DM$8,Nutrients!$DM$9)*AB$6)+(((IF($A$7=Nutrients!$B$79,Nutrients!$DM$79,(IF($A$7=Nutrients!$B$77,Nutrients!$DM$77,Nutrients!$DM$78)))))*AB$7))/2000/AB$225*100</f>
        <v>20.818215138401236</v>
      </c>
      <c r="AC240" s="110">
        <f>(SUMPRODUCT(AC$8:AC$217,Nutrients!$DM$8:$DM$217)+(IF($A$6=Nutrients!$B$8,Nutrients!$DM$8,Nutrients!$DM$9)*AC$6)+(((IF($A$7=Nutrients!$B$79,Nutrients!$DM$79,(IF($A$7=Nutrients!$B$77,Nutrients!$DM$77,Nutrients!$DM$78)))))*AC$7))/2000/AC$225*100</f>
        <v>18.714534872540209</v>
      </c>
      <c r="AD240" s="434"/>
      <c r="AE240" s="110">
        <f>(SUMPRODUCT(AE$8:AE$217,Nutrients!$DM$8:$DM$217)+(IF($A$6=Nutrients!$B$8,Nutrients!$DM$8,Nutrients!$DM$9)*AE$6)+(((IF($A$7=Nutrients!$B$79,Nutrients!$DM$79,(IF($A$7=Nutrients!$B$77,Nutrients!$DM$77,Nutrients!$DM$78)))))*AE$7))/2000/AE$225*100</f>
        <v>52.90510774162064</v>
      </c>
      <c r="AF240" s="110">
        <f>(SUMPRODUCT(AF$8:AF$217,Nutrients!$DM$8:$DM$217)+(IF($A$6=Nutrients!$B$8,Nutrients!$DM$8,Nutrients!$DM$9)*AF$6)+(((IF($A$7=Nutrients!$B$79,Nutrients!$DM$79,(IF($A$7=Nutrients!$B$77,Nutrients!$DM$77,Nutrients!$DM$78)))))*AF$7))/2000/AF$225*100</f>
        <v>44.909446485963905</v>
      </c>
      <c r="AG240" s="110">
        <f>(SUMPRODUCT(AG$8:AG$217,Nutrients!$DM$8:$DM$217)+(IF($A$6=Nutrients!$B$8,Nutrients!$DM$8,Nutrients!$DM$9)*AG$6)+(((IF($A$7=Nutrients!$B$79,Nutrients!$DM$79,(IF($A$7=Nutrients!$B$77,Nutrients!$DM$77,Nutrients!$DM$78)))))*AG$7))/2000/AG$225*100</f>
        <v>38.877631854503576</v>
      </c>
      <c r="AH240" s="110">
        <f>(SUMPRODUCT(AH$8:AH$217,Nutrients!$DM$8:$DM$217)+(IF($A$6=Nutrients!$B$8,Nutrients!$DM$8,Nutrients!$DM$9)*AH$6)+(((IF($A$7=Nutrients!$B$79,Nutrients!$DM$79,(IF($A$7=Nutrients!$B$77,Nutrients!$DM$77,Nutrients!$DM$78)))))*AH$7))/2000/AH$225*100</f>
        <v>34.165276673675187</v>
      </c>
      <c r="AI240" s="110">
        <f>(SUMPRODUCT(AI$8:AI$217,Nutrients!$DM$8:$DM$217)+(IF($A$6=Nutrients!$B$8,Nutrients!$DM$8,Nutrients!$DM$9)*AI$6)+(((IF($A$7=Nutrients!$B$79,Nutrients!$DM$79,(IF($A$7=Nutrients!$B$77,Nutrients!$DM$77,Nutrients!$DM$78)))))*AI$7))/2000/AI$225*100</f>
        <v>30.382118289066479</v>
      </c>
      <c r="AJ240" s="110">
        <f>(SUMPRODUCT(AJ$8:AJ$217,Nutrients!$DM$8:$DM$217)+(IF($A$6=Nutrients!$B$8,Nutrients!$DM$8,Nutrients!$DM$9)*AJ$6)+(((IF($A$7=Nutrients!$B$79,Nutrients!$DM$79,(IF($A$7=Nutrients!$B$77,Nutrients!$DM$77,Nutrients!$DM$78)))))*AJ$7))/2000/AJ$225*100</f>
        <v>26.798125505703791</v>
      </c>
      <c r="AK240" s="110"/>
      <c r="AL240" s="110"/>
    </row>
    <row r="241" spans="1:38" x14ac:dyDescent="0.15">
      <c r="A241" s="98" t="s">
        <v>407</v>
      </c>
      <c r="B241" s="110">
        <f>(SUMPRODUCT(B$8:B$217,Nutrients!$DN$8:$DN$217)+(IF($A$6=Nutrients!$B$8,Nutrients!$DN$8,Nutrients!$DN$9)*B$6)+(((IF($A$7=Nutrients!$B$79,Nutrients!$DN$79,(IF($A$7=Nutrients!$B$77,Nutrients!$DN$77,Nutrients!$DN$78)))))*B$7))/2000/B$225*100</f>
        <v>45.815780570098802</v>
      </c>
      <c r="C241" s="110">
        <f>(SUMPRODUCT(C$8:C$217,Nutrients!$DN$8:$DN$217)+(IF($A$6=Nutrients!$B$8,Nutrients!$DN$8,Nutrients!$DN$9)*C$6)+(((IF($A$7=Nutrients!$B$79,Nutrients!$DN$79,(IF($A$7=Nutrients!$B$77,Nutrients!$DN$77,Nutrients!$DN$78)))))*C$7))/2000/C$225*100</f>
        <v>39.94608210530221</v>
      </c>
      <c r="D241" s="110">
        <f>(SUMPRODUCT(D$8:D$217,Nutrients!$DN$8:$DN$217)+(IF($A$6=Nutrients!$B$8,Nutrients!$DN$8,Nutrients!$DN$9)*D$6)+(((IF($A$7=Nutrients!$B$79,Nutrients!$DN$79,(IF($A$7=Nutrients!$B$77,Nutrients!$DN$77,Nutrients!$DN$78)))))*D$7))/2000/D$225*100</f>
        <v>35.033953379603169</v>
      </c>
      <c r="E241" s="110">
        <f>(SUMPRODUCT(E$8:E$217,Nutrients!$DN$8:$DN$217)+(IF($A$6=Nutrients!$B$8,Nutrients!$DN$8,Nutrients!$DN$9)*E$6)+(((IF($A$7=Nutrients!$B$79,Nutrients!$DN$79,(IF($A$7=Nutrients!$B$77,Nutrients!$DN$77,Nutrients!$DN$78)))))*E$7))/2000/E$225*100</f>
        <v>30.888462482491786</v>
      </c>
      <c r="F241" s="110">
        <f>(SUMPRODUCT(F$8:F$217,Nutrients!$DN$8:$DN$217)+(IF($A$6=Nutrients!$B$8,Nutrients!$DN$8,Nutrients!$DN$9)*F$6)+(((IF($A$7=Nutrients!$B$79,Nutrients!$DN$79,(IF($A$7=Nutrients!$B$77,Nutrients!$DN$77,Nutrients!$DN$78)))))*F$7))/2000/F$225*100</f>
        <v>27.319966607799007</v>
      </c>
      <c r="G241" s="110">
        <f>(SUMPRODUCT(G$8:G$217,Nutrients!$DN$8:$DN$217)+(IF($A$6=Nutrients!$B$8,Nutrients!$DN$8,Nutrients!$DN$9)*G$6)+(((IF($A$7=Nutrients!$B$79,Nutrients!$DN$79,(IF($A$7=Nutrients!$B$77,Nutrients!$DN$77,Nutrients!$DN$78)))))*G$7))/2000/G$225*100</f>
        <v>24.267513240467053</v>
      </c>
      <c r="H241" s="434"/>
      <c r="I241" s="110">
        <f>(SUMPRODUCT(I$8:I$217,Nutrients!$DN$8:$DN$217)+(IF($A$6=Nutrients!$B$8,Nutrients!$DN$8,Nutrients!$DN$9)*I$6)+(((IF($A$7=Nutrients!$B$79,Nutrients!$DN$79,(IF($A$7=Nutrients!$B$77,Nutrients!$DN$77,Nutrients!$DN$78)))))*I$7))/2000/I$225*100</f>
        <v>64.886014210214739</v>
      </c>
      <c r="J241" s="110">
        <f>(SUMPRODUCT(J$8:J$217,Nutrients!$DN$8:$DN$217)+(IF($A$6=Nutrients!$B$8,Nutrients!$DN$8,Nutrients!$DN$9)*J$6)+(((IF($A$7=Nutrients!$B$79,Nutrients!$DN$79,(IF($A$7=Nutrients!$B$77,Nutrients!$DN$77,Nutrients!$DN$78)))))*J$7))/2000/J$225*100</f>
        <v>56.903880022157551</v>
      </c>
      <c r="K241" s="110">
        <f>(SUMPRODUCT(K$8:K$217,Nutrients!$DN$8:$DN$217)+(IF($A$6=Nutrients!$B$8,Nutrients!$DN$8,Nutrients!$DN$9)*K$6)+(((IF($A$7=Nutrients!$B$79,Nutrients!$DN$79,(IF($A$7=Nutrients!$B$77,Nutrients!$DN$77,Nutrients!$DN$78)))))*K$7))/2000/K$225*100</f>
        <v>50.207715807034383</v>
      </c>
      <c r="L241" s="110">
        <f>(SUMPRODUCT(L$8:L$217,Nutrients!$DN$8:$DN$217)+(IF($A$6=Nutrients!$B$8,Nutrients!$DN$8,Nutrients!$DN$9)*L$6)+(((IF($A$7=Nutrients!$B$79,Nutrients!$DN$79,(IF($A$7=Nutrients!$B$77,Nutrients!$DN$77,Nutrients!$DN$78)))))*L$7))/2000/L$225*100</f>
        <v>44.681415769073737</v>
      </c>
      <c r="M241" s="110">
        <f>(SUMPRODUCT(M$8:M$217,Nutrients!$DN$8:$DN$217)+(IF($A$6=Nutrients!$B$8,Nutrients!$DN$8,Nutrients!$DN$9)*M$6)+(((IF($A$7=Nutrients!$B$79,Nutrients!$DN$79,(IF($A$7=Nutrients!$B$77,Nutrients!$DN$77,Nutrients!$DN$78)))))*M$7))/2000/M$225*100</f>
        <v>39.814879602759845</v>
      </c>
      <c r="N241" s="110">
        <f>(SUMPRODUCT(N$8:N$217,Nutrients!$DN$8:$DN$217)+(IF($A$6=Nutrients!$B$8,Nutrients!$DN$8,Nutrients!$DN$9)*N$6)+(((IF($A$7=Nutrients!$B$79,Nutrients!$DN$79,(IF($A$7=Nutrients!$B$77,Nutrients!$DN$77,Nutrients!$DN$78)))))*N$7))/2000/N$225*100</f>
        <v>35.626805408671508</v>
      </c>
      <c r="O241" s="434"/>
      <c r="P241" s="110">
        <f>(SUMPRODUCT(P$8:P$217,Nutrients!$DN$8:$DN$217)+(IF($A$6=Nutrients!$B$8,Nutrients!$DN$8,Nutrients!$DN$9)*P$6)+(((IF($A$7=Nutrients!$B$79,Nutrients!$DN$79,(IF($A$7=Nutrients!$B$77,Nutrients!$DN$77,Nutrients!$DN$78)))))*P$7))/2000/P$225*100</f>
        <v>84.438002250899743</v>
      </c>
      <c r="Q241" s="110">
        <f>(SUMPRODUCT(Q$8:Q$217,Nutrients!$DN$8:$DN$217)+(IF($A$6=Nutrients!$B$8,Nutrients!$DN$8,Nutrients!$DN$9)*Q$6)+(((IF($A$7=Nutrients!$B$79,Nutrients!$DN$79,(IF($A$7=Nutrients!$B$77,Nutrients!$DN$77,Nutrients!$DN$78)))))*Q$7))/2000/Q$225*100</f>
        <v>74.266002599139952</v>
      </c>
      <c r="R241" s="110">
        <f>(SUMPRODUCT(R$8:R$217,Nutrients!$DN$8:$DN$217)+(IF($A$6=Nutrients!$B$8,Nutrients!$DN$8,Nutrients!$DN$9)*R$6)+(((IF($A$7=Nutrients!$B$79,Nutrients!$DN$79,(IF($A$7=Nutrients!$B$77,Nutrients!$DN$77,Nutrients!$DN$78)))))*R$7))/2000/R$225*100</f>
        <v>65.717241351713113</v>
      </c>
      <c r="S241" s="110">
        <f>(SUMPRODUCT(S$8:S$217,Nutrients!$DN$8:$DN$217)+(IF($A$6=Nutrients!$B$8,Nutrients!$DN$8,Nutrients!$DN$9)*S$6)+(((IF($A$7=Nutrients!$B$79,Nutrients!$DN$79,(IF($A$7=Nutrients!$B$77,Nutrients!$DN$77,Nutrients!$DN$78)))))*S$7))/2000/S$225*100</f>
        <v>58.724931483894473</v>
      </c>
      <c r="T241" s="110">
        <f>(SUMPRODUCT(T$8:T$217,Nutrients!$DN$8:$DN$217)+(IF($A$6=Nutrients!$B$8,Nutrients!$DN$8,Nutrients!$DN$9)*T$6)+(((IF($A$7=Nutrients!$B$79,Nutrients!$DN$79,(IF($A$7=Nutrients!$B$77,Nutrients!$DN$77,Nutrients!$DN$78)))))*T$7))/2000/T$225*100</f>
        <v>52.789045529517431</v>
      </c>
      <c r="U241" s="110">
        <f>(SUMPRODUCT(U$8:U$217,Nutrients!$DN$8:$DN$217)+(IF($A$6=Nutrients!$B$8,Nutrients!$DN$8,Nutrients!$DN$9)*U$6)+(((IF($A$7=Nutrients!$B$79,Nutrients!$DN$79,(IF($A$7=Nutrients!$B$77,Nutrients!$DN$77,Nutrients!$DN$78)))))*U$7))/2000/U$225*100</f>
        <v>47.454713426798392</v>
      </c>
      <c r="V241" s="434"/>
      <c r="W241" s="110">
        <f>(SUMPRODUCT(W$8:W$217,Nutrients!$DN$8:$DN$217)+(IF($A$6=Nutrients!$B$8,Nutrients!$DN$8,Nutrients!$DN$9)*W$6)+(((IF($A$7=Nutrients!$B$79,Nutrients!$DN$79,(IF($A$7=Nutrients!$B$77,Nutrients!$DN$77,Nutrients!$DN$78)))))*W$7))/2000/W$225*100</f>
        <v>97.065312163429184</v>
      </c>
      <c r="X241" s="110">
        <f>(SUMPRODUCT(X$8:X$217,Nutrients!$DN$8:$DN$217)+(IF($A$6=Nutrients!$B$8,Nutrients!$DN$8,Nutrients!$DN$9)*X$6)+(((IF($A$7=Nutrients!$B$79,Nutrients!$DN$79,(IF($A$7=Nutrients!$B$77,Nutrients!$DN$77,Nutrients!$DN$78)))))*X$7))/2000/X$225*100</f>
        <v>84.438002250899743</v>
      </c>
      <c r="Y241" s="110">
        <f>(SUMPRODUCT(Y$8:Y$217,Nutrients!$DN$8:$DN$217)+(IF($A$6=Nutrients!$B$8,Nutrients!$DN$8,Nutrients!$DN$9)*Y$6)+(((IF($A$7=Nutrients!$B$79,Nutrients!$DN$79,(IF($A$7=Nutrients!$B$77,Nutrients!$DN$77,Nutrients!$DN$78)))))*Y$7))/2000/Y$225*100</f>
        <v>74.266002599139952</v>
      </c>
      <c r="Z241" s="110">
        <f>(SUMPRODUCT(Z$8:Z$217,Nutrients!$DN$8:$DN$217)+(IF($A$6=Nutrients!$B$8,Nutrients!$DN$8,Nutrients!$DN$9)*Z$6)+(((IF($A$7=Nutrients!$B$79,Nutrients!$DN$79,(IF($A$7=Nutrients!$B$77,Nutrients!$DN$77,Nutrients!$DN$78)))))*Z$7))/2000/Z$225*100</f>
        <v>65.717241351713113</v>
      </c>
      <c r="AA241" s="110">
        <f>(SUMPRODUCT(AA$8:AA$217,Nutrients!$DN$8:$DN$217)+(IF($A$6=Nutrients!$B$8,Nutrients!$DN$8,Nutrients!$DN$9)*AA$6)+(((IF($A$7=Nutrients!$B$79,Nutrients!$DN$79,(IF($A$7=Nutrients!$B$77,Nutrients!$DN$77,Nutrients!$DN$78)))))*AA$7))/2000/AA$225*100</f>
        <v>58.724931483894473</v>
      </c>
      <c r="AB241" s="110">
        <f>(SUMPRODUCT(AB$8:AB$217,Nutrients!$DN$8:$DN$217)+(IF($A$6=Nutrients!$B$8,Nutrients!$DN$8,Nutrients!$DN$9)*AB$6)+(((IF($A$7=Nutrients!$B$79,Nutrients!$DN$79,(IF($A$7=Nutrients!$B$77,Nutrients!$DN$77,Nutrients!$DN$78)))))*AB$7))/2000/AB$225*100</f>
        <v>52.789045529517431</v>
      </c>
      <c r="AC241" s="110">
        <f>(SUMPRODUCT(AC$8:AC$217,Nutrients!$DN$8:$DN$217)+(IF($A$6=Nutrients!$B$8,Nutrients!$DN$8,Nutrients!$DN$9)*AC$6)+(((IF($A$7=Nutrients!$B$79,Nutrients!$DN$79,(IF($A$7=Nutrients!$B$77,Nutrients!$DN$77,Nutrients!$DN$78)))))*AC$7))/2000/AC$225*100</f>
        <v>47.454713426798392</v>
      </c>
      <c r="AD241" s="434"/>
      <c r="AE241" s="110">
        <f>(SUMPRODUCT(AE$8:AE$217,Nutrients!$DN$8:$DN$217)+(IF($A$6=Nutrients!$B$8,Nutrients!$DN$8,Nutrients!$DN$9)*AE$6)+(((IF($A$7=Nutrients!$B$79,Nutrients!$DN$79,(IF($A$7=Nutrients!$B$77,Nutrients!$DN$77,Nutrients!$DN$78)))))*AE$7))/2000/AE$225*100</f>
        <v>134.15223748768091</v>
      </c>
      <c r="AF241" s="110">
        <f>(SUMPRODUCT(AF$8:AF$217,Nutrients!$DN$8:$DN$217)+(IF($A$6=Nutrients!$B$8,Nutrients!$DN$8,Nutrients!$DN$9)*AF$6)+(((IF($A$7=Nutrients!$B$79,Nutrients!$DN$79,(IF($A$7=Nutrients!$B$77,Nutrients!$DN$77,Nutrients!$DN$78)))))*AF$7))/2000/AF$225*100</f>
        <v>113.87752501797992</v>
      </c>
      <c r="AG241" s="110">
        <f>(SUMPRODUCT(AG$8:AG$217,Nutrients!$DN$8:$DN$217)+(IF($A$6=Nutrients!$B$8,Nutrients!$DN$8,Nutrients!$DN$9)*AG$6)+(((IF($A$7=Nutrients!$B$79,Nutrients!$DN$79,(IF($A$7=Nutrients!$B$77,Nutrients!$DN$77,Nutrients!$DN$78)))))*AG$7))/2000/AG$225*100</f>
        <v>98.582566488205487</v>
      </c>
      <c r="AH241" s="110">
        <f>(SUMPRODUCT(AH$8:AH$217,Nutrients!$DN$8:$DN$217)+(IF($A$6=Nutrients!$B$8,Nutrients!$DN$8,Nutrients!$DN$9)*AH$6)+(((IF($A$7=Nutrients!$B$79,Nutrients!$DN$79,(IF($A$7=Nutrients!$B$77,Nutrients!$DN$77,Nutrients!$DN$78)))))*AH$7))/2000/AH$225*100</f>
        <v>86.633380136819255</v>
      </c>
      <c r="AI241" s="110">
        <f>(SUMPRODUCT(AI$8:AI$217,Nutrients!$DN$8:$DN$217)+(IF($A$6=Nutrients!$B$8,Nutrients!$DN$8,Nutrients!$DN$9)*AI$6)+(((IF($A$7=Nutrients!$B$79,Nutrients!$DN$79,(IF($A$7=Nutrients!$B$77,Nutrients!$DN$77,Nutrients!$DN$78)))))*AI$7))/2000/AI$225*100</f>
        <v>77.040371375847144</v>
      </c>
      <c r="AJ241" s="110">
        <f>(SUMPRODUCT(AJ$8:AJ$217,Nutrients!$DN$8:$DN$217)+(IF($A$6=Nutrients!$B$8,Nutrients!$DN$8,Nutrients!$DN$9)*AJ$6)+(((IF($A$7=Nutrients!$B$79,Nutrients!$DN$79,(IF($A$7=Nutrients!$B$77,Nutrients!$DN$77,Nutrients!$DN$78)))))*AJ$7))/2000/AJ$225*100</f>
        <v>67.952389675177486</v>
      </c>
      <c r="AK241" s="110"/>
      <c r="AL241" s="110"/>
    </row>
    <row r="242" spans="1:38" x14ac:dyDescent="0.15">
      <c r="A242" s="98" t="s">
        <v>408</v>
      </c>
      <c r="B242" s="110">
        <f>(SUMPRODUCT(B$8:B$217,Nutrients!$DO$8:$DO$217)+(IF($A$6=Nutrients!$B$8,Nutrients!$DO$8,Nutrients!$DO$9)*B$6)+(((IF($A$7=Nutrients!$B$79,Nutrients!$DO$79,(IF($A$7=Nutrients!$B$77,Nutrients!$DO$77,Nutrients!$DO$78)))))*B$7))/2000/B$225*100</f>
        <v>21.62077423238344</v>
      </c>
      <c r="C242" s="110">
        <f>(SUMPRODUCT(C$8:C$217,Nutrients!$DO$8:$DO$217)+(IF($A$6=Nutrients!$B$8,Nutrients!$DO$8,Nutrients!$DO$9)*C$6)+(((IF($A$7=Nutrients!$B$79,Nutrients!$DO$79,(IF($A$7=Nutrients!$B$77,Nutrients!$DO$77,Nutrients!$DO$78)))))*C$7))/2000/C$225*100</f>
        <v>18.850824146618457</v>
      </c>
      <c r="D242" s="110">
        <f>(SUMPRODUCT(D$8:D$217,Nutrients!$DO$8:$DO$217)+(IF($A$6=Nutrients!$B$8,Nutrients!$DO$8,Nutrients!$DO$9)*D$6)+(((IF($A$7=Nutrients!$B$79,Nutrients!$DO$79,(IF($A$7=Nutrients!$B$77,Nutrients!$DO$77,Nutrients!$DO$78)))))*D$7))/2000/D$225*100</f>
        <v>16.532757645137586</v>
      </c>
      <c r="E242" s="110">
        <f>(SUMPRODUCT(E$8:E$217,Nutrients!$DO$8:$DO$217)+(IF($A$6=Nutrients!$B$8,Nutrients!$DO$8,Nutrients!$DO$9)*E$6)+(((IF($A$7=Nutrients!$B$79,Nutrients!$DO$79,(IF($A$7=Nutrients!$B$77,Nutrients!$DO$77,Nutrients!$DO$78)))))*E$7))/2000/E$225*100</f>
        <v>14.576472678395335</v>
      </c>
      <c r="F242" s="110">
        <f>(SUMPRODUCT(F$8:F$217,Nutrients!$DO$8:$DO$217)+(IF($A$6=Nutrients!$B$8,Nutrients!$DO$8,Nutrients!$DO$9)*F$6)+(((IF($A$7=Nutrients!$B$79,Nutrients!$DO$79,(IF($A$7=Nutrients!$B$77,Nutrients!$DO$77,Nutrients!$DO$78)))))*F$7))/2000/F$225*100</f>
        <v>12.892475533833361</v>
      </c>
      <c r="G242" s="110">
        <f>(SUMPRODUCT(G$8:G$217,Nutrients!$DO$8:$DO$217)+(IF($A$6=Nutrients!$B$8,Nutrients!$DO$8,Nutrients!$DO$9)*G$6)+(((IF($A$7=Nutrients!$B$79,Nutrients!$DO$79,(IF($A$7=Nutrients!$B$77,Nutrients!$DO$77,Nutrients!$DO$78)))))*G$7))/2000/G$225*100</f>
        <v>11.452002310661113</v>
      </c>
      <c r="H242" s="434"/>
      <c r="I242" s="110">
        <f>(SUMPRODUCT(I$8:I$217,Nutrients!$DO$8:$DO$217)+(IF($A$6=Nutrients!$B$8,Nutrients!$DO$8,Nutrients!$DO$9)*I$6)+(((IF($A$7=Nutrients!$B$79,Nutrients!$DO$79,(IF($A$7=Nutrients!$B$77,Nutrients!$DO$77,Nutrients!$DO$78)))))*I$7))/2000/I$225*100</f>
        <v>30.62014543071772</v>
      </c>
      <c r="J242" s="110">
        <f>(SUMPRODUCT(J$8:J$217,Nutrients!$DO$8:$DO$217)+(IF($A$6=Nutrients!$B$8,Nutrients!$DO$8,Nutrients!$DO$9)*J$6)+(((IF($A$7=Nutrients!$B$79,Nutrients!$DO$79,(IF($A$7=Nutrients!$B$77,Nutrients!$DO$77,Nutrients!$DO$78)))))*J$7))/2000/J$225*100</f>
        <v>26.853322754663473</v>
      </c>
      <c r="K242" s="110">
        <f>(SUMPRODUCT(K$8:K$217,Nutrients!$DO$8:$DO$217)+(IF($A$6=Nutrients!$B$8,Nutrients!$DO$8,Nutrients!$DO$9)*K$6)+(((IF($A$7=Nutrients!$B$79,Nutrients!$DO$79,(IF($A$7=Nutrients!$B$77,Nutrients!$DO$77,Nutrients!$DO$78)))))*K$7))/2000/K$225*100</f>
        <v>23.69335793650146</v>
      </c>
      <c r="L242" s="110">
        <f>(SUMPRODUCT(L$8:L$217,Nutrients!$DO$8:$DO$217)+(IF($A$6=Nutrients!$B$8,Nutrients!$DO$8,Nutrients!$DO$9)*L$6)+(((IF($A$7=Nutrients!$B$79,Nutrients!$DO$79,(IF($A$7=Nutrients!$B$77,Nutrients!$DO$77,Nutrients!$DO$78)))))*L$7))/2000/L$225*100</f>
        <v>21.085459872245004</v>
      </c>
      <c r="M242" s="110">
        <f>(SUMPRODUCT(M$8:M$217,Nutrients!$DO$8:$DO$217)+(IF($A$6=Nutrients!$B$8,Nutrients!$DO$8,Nutrients!$DO$9)*M$6)+(((IF($A$7=Nutrients!$B$79,Nutrients!$DO$79,(IF($A$7=Nutrients!$B$77,Nutrients!$DO$77,Nutrients!$DO$78)))))*M$7))/2000/M$225*100</f>
        <v>18.78890880542173</v>
      </c>
      <c r="N242" s="110">
        <f>(SUMPRODUCT(N$8:N$217,Nutrients!$DO$8:$DO$217)+(IF($A$6=Nutrients!$B$8,Nutrients!$DO$8,Nutrients!$DO$9)*N$6)+(((IF($A$7=Nutrients!$B$79,Nutrients!$DO$79,(IF($A$7=Nutrients!$B$77,Nutrients!$DO$77,Nutrients!$DO$78)))))*N$7))/2000/N$225*100</f>
        <v>16.812528495141667</v>
      </c>
      <c r="O242" s="434"/>
      <c r="P242" s="110">
        <f>(SUMPRODUCT(P$8:P$217,Nutrients!$DO$8:$DO$217)+(IF($A$6=Nutrients!$B$8,Nutrients!$DO$8,Nutrients!$DO$9)*P$6)+(((IF($A$7=Nutrients!$B$79,Nutrients!$DO$79,(IF($A$7=Nutrients!$B$77,Nutrients!$DO$77,Nutrients!$DO$78)))))*P$7))/2000/P$225*100</f>
        <v>39.84685976280533</v>
      </c>
      <c r="Q242" s="110">
        <f>(SUMPRODUCT(Q$8:Q$217,Nutrients!$DO$8:$DO$217)+(IF($A$6=Nutrients!$B$8,Nutrients!$DO$8,Nutrients!$DO$9)*Q$6)+(((IF($A$7=Nutrients!$B$79,Nutrients!$DO$79,(IF($A$7=Nutrients!$B$77,Nutrients!$DO$77,Nutrients!$DO$78)))))*Q$7))/2000/Q$225*100</f>
        <v>35.046624882465551</v>
      </c>
      <c r="R242" s="110">
        <f>(SUMPRODUCT(R$8:R$217,Nutrients!$DO$8:$DO$217)+(IF($A$6=Nutrients!$B$8,Nutrients!$DO$8,Nutrients!$DO$9)*R$6)+(((IF($A$7=Nutrients!$B$79,Nutrients!$DO$79,(IF($A$7=Nutrients!$B$77,Nutrients!$DO$77,Nutrients!$DO$78)))))*R$7))/2000/R$225*100</f>
        <v>31.01240709555324</v>
      </c>
      <c r="S242" s="110">
        <f>(SUMPRODUCT(S$8:S$217,Nutrients!$DO$8:$DO$217)+(IF($A$6=Nutrients!$B$8,Nutrients!$DO$8,Nutrients!$DO$9)*S$6)+(((IF($A$7=Nutrients!$B$79,Nutrients!$DO$79,(IF($A$7=Nutrients!$B$77,Nutrients!$DO$77,Nutrients!$DO$78)))))*S$7))/2000/S$225*100</f>
        <v>27.712689157021835</v>
      </c>
      <c r="T242" s="110">
        <f>(SUMPRODUCT(T$8:T$217,Nutrients!$DO$8:$DO$217)+(IF($A$6=Nutrients!$B$8,Nutrients!$DO$8,Nutrients!$DO$9)*T$6)+(((IF($A$7=Nutrients!$B$79,Nutrients!$DO$79,(IF($A$7=Nutrients!$B$77,Nutrients!$DO$77,Nutrients!$DO$78)))))*T$7))/2000/T$225*100</f>
        <v>24.911504750867223</v>
      </c>
      <c r="U242" s="110">
        <f>(SUMPRODUCT(U$8:U$217,Nutrients!$DO$8:$DO$217)+(IF($A$6=Nutrients!$B$8,Nutrients!$DO$8,Nutrients!$DO$9)*U$6)+(((IF($A$7=Nutrients!$B$79,Nutrients!$DO$79,(IF($A$7=Nutrients!$B$77,Nutrients!$DO$77,Nutrients!$DO$78)))))*U$7))/2000/U$225*100</f>
        <v>22.394197643177918</v>
      </c>
      <c r="V242" s="434"/>
      <c r="W242" s="110">
        <f>(SUMPRODUCT(W$8:W$217,Nutrients!$DO$8:$DO$217)+(IF($A$6=Nutrients!$B$8,Nutrients!$DO$8,Nutrients!$DO$9)*W$6)+(((IF($A$7=Nutrients!$B$79,Nutrients!$DO$79,(IF($A$7=Nutrients!$B$77,Nutrients!$DO$77,Nutrients!$DO$78)))))*W$7))/2000/W$225*100</f>
        <v>45.805772028054726</v>
      </c>
      <c r="X242" s="110">
        <f>(SUMPRODUCT(X$8:X$217,Nutrients!$DO$8:$DO$217)+(IF($A$6=Nutrients!$B$8,Nutrients!$DO$8,Nutrients!$DO$9)*X$6)+(((IF($A$7=Nutrients!$B$79,Nutrients!$DO$79,(IF($A$7=Nutrients!$B$77,Nutrients!$DO$77,Nutrients!$DO$78)))))*X$7))/2000/X$225*100</f>
        <v>39.84685976280533</v>
      </c>
      <c r="Y242" s="110">
        <f>(SUMPRODUCT(Y$8:Y$217,Nutrients!$DO$8:$DO$217)+(IF($A$6=Nutrients!$B$8,Nutrients!$DO$8,Nutrients!$DO$9)*Y$6)+(((IF($A$7=Nutrients!$B$79,Nutrients!$DO$79,(IF($A$7=Nutrients!$B$77,Nutrients!$DO$77,Nutrients!$DO$78)))))*Y$7))/2000/Y$225*100</f>
        <v>35.046624882465551</v>
      </c>
      <c r="Z242" s="110">
        <f>(SUMPRODUCT(Z$8:Z$217,Nutrients!$DO$8:$DO$217)+(IF($A$6=Nutrients!$B$8,Nutrients!$DO$8,Nutrients!$DO$9)*Z$6)+(((IF($A$7=Nutrients!$B$79,Nutrients!$DO$79,(IF($A$7=Nutrients!$B$77,Nutrients!$DO$77,Nutrients!$DO$78)))))*Z$7))/2000/Z$225*100</f>
        <v>31.01240709555324</v>
      </c>
      <c r="AA242" s="110">
        <f>(SUMPRODUCT(AA$8:AA$217,Nutrients!$DO$8:$DO$217)+(IF($A$6=Nutrients!$B$8,Nutrients!$DO$8,Nutrients!$DO$9)*AA$6)+(((IF($A$7=Nutrients!$B$79,Nutrients!$DO$79,(IF($A$7=Nutrients!$B$77,Nutrients!$DO$77,Nutrients!$DO$78)))))*AA$7))/2000/AA$225*100</f>
        <v>27.712689157021835</v>
      </c>
      <c r="AB242" s="110">
        <f>(SUMPRODUCT(AB$8:AB$217,Nutrients!$DO$8:$DO$217)+(IF($A$6=Nutrients!$B$8,Nutrients!$DO$8,Nutrients!$DO$9)*AB$6)+(((IF($A$7=Nutrients!$B$79,Nutrients!$DO$79,(IF($A$7=Nutrients!$B$77,Nutrients!$DO$77,Nutrients!$DO$78)))))*AB$7))/2000/AB$225*100</f>
        <v>24.911504750867223</v>
      </c>
      <c r="AC242" s="110">
        <f>(SUMPRODUCT(AC$8:AC$217,Nutrients!$DO$8:$DO$217)+(IF($A$6=Nutrients!$B$8,Nutrients!$DO$8,Nutrients!$DO$9)*AC$6)+(((IF($A$7=Nutrients!$B$79,Nutrients!$DO$79,(IF($A$7=Nutrients!$B$77,Nutrients!$DO$77,Nutrients!$DO$78)))))*AC$7))/2000/AC$225*100</f>
        <v>22.394197643177918</v>
      </c>
      <c r="AD242" s="434"/>
      <c r="AE242" s="110">
        <f>(SUMPRODUCT(AE$8:AE$217,Nutrients!$DO$8:$DO$217)+(IF($A$6=Nutrients!$B$8,Nutrients!$DO$8,Nutrients!$DO$9)*AE$6)+(((IF($A$7=Nutrients!$B$79,Nutrients!$DO$79,(IF($A$7=Nutrients!$B$77,Nutrients!$DO$77,Nutrients!$DO$78)))))*AE$7))/2000/AE$225*100</f>
        <v>63.307340907407806</v>
      </c>
      <c r="AF242" s="110">
        <f>(SUMPRODUCT(AF$8:AF$217,Nutrients!$DO$8:$DO$217)+(IF($A$6=Nutrients!$B$8,Nutrients!$DO$8,Nutrients!$DO$9)*AF$6)+(((IF($A$7=Nutrients!$B$79,Nutrients!$DO$79,(IF($A$7=Nutrients!$B$77,Nutrients!$DO$77,Nutrients!$DO$78)))))*AF$7))/2000/AF$225*100</f>
        <v>53.739568068457586</v>
      </c>
      <c r="AG242" s="110">
        <f>(SUMPRODUCT(AG$8:AG$217,Nutrients!$DO$8:$DO$217)+(IF($A$6=Nutrients!$B$8,Nutrients!$DO$8,Nutrients!$DO$9)*AG$6)+(((IF($A$7=Nutrients!$B$79,Nutrients!$DO$79,(IF($A$7=Nutrients!$B$77,Nutrients!$DO$77,Nutrients!$DO$78)))))*AG$7))/2000/AG$225*100</f>
        <v>46.521774523284606</v>
      </c>
      <c r="AH242" s="110">
        <f>(SUMPRODUCT(AH$8:AH$217,Nutrients!$DO$8:$DO$217)+(IF($A$6=Nutrients!$B$8,Nutrients!$DO$8,Nutrients!$DO$9)*AH$6)+(((IF($A$7=Nutrients!$B$79,Nutrients!$DO$79,(IF($A$7=Nutrients!$B$77,Nutrients!$DO$77,Nutrients!$DO$78)))))*AH$7))/2000/AH$225*100</f>
        <v>40.882873316118243</v>
      </c>
      <c r="AI242" s="110">
        <f>(SUMPRODUCT(AI$8:AI$217,Nutrients!$DO$8:$DO$217)+(IF($A$6=Nutrients!$B$8,Nutrients!$DO$8,Nutrients!$DO$9)*AI$6)+(((IF($A$7=Nutrients!$B$79,Nutrients!$DO$79,(IF($A$7=Nutrients!$B$77,Nutrients!$DO$77,Nutrients!$DO$78)))))*AI$7))/2000/AI$225*100</f>
        <v>36.355868121632547</v>
      </c>
      <c r="AJ242" s="110">
        <f>(SUMPRODUCT(AJ$8:AJ$217,Nutrients!$DO$8:$DO$217)+(IF($A$6=Nutrients!$B$8,Nutrients!$DO$8,Nutrients!$DO$9)*AJ$6)+(((IF($A$7=Nutrients!$B$79,Nutrients!$DO$79,(IF($A$7=Nutrients!$B$77,Nutrients!$DO$77,Nutrients!$DO$78)))))*AJ$7))/2000/AJ$225*100</f>
        <v>32.067188585166292</v>
      </c>
      <c r="AK242" s="110"/>
      <c r="AL242" s="110"/>
    </row>
    <row r="243" spans="1:38" x14ac:dyDescent="0.15">
      <c r="A243" s="98" t="s">
        <v>409</v>
      </c>
      <c r="B243" s="110">
        <f t="shared" ref="B243:G243" si="46">B227+B226+B232</f>
        <v>275.54008973083205</v>
      </c>
      <c r="C243" s="110">
        <f t="shared" si="46"/>
        <v>264.22998069371351</v>
      </c>
      <c r="D243" s="110">
        <f t="shared" si="46"/>
        <v>255.98344992134128</v>
      </c>
      <c r="E243" s="110">
        <f t="shared" si="46"/>
        <v>249.39137570284086</v>
      </c>
      <c r="F243" s="110">
        <f t="shared" si="46"/>
        <v>243.37603990959883</v>
      </c>
      <c r="G243" s="110">
        <f t="shared" si="46"/>
        <v>238.85987975787265</v>
      </c>
      <c r="H243" s="434"/>
      <c r="I243" s="110">
        <f t="shared" ref="I243:N243" si="47">I227+I226+I232</f>
        <v>282.52504471763496</v>
      </c>
      <c r="J243" s="110">
        <f t="shared" si="47"/>
        <v>277.02323812142311</v>
      </c>
      <c r="K243" s="110">
        <f t="shared" si="47"/>
        <v>272.37906377387486</v>
      </c>
      <c r="L243" s="110">
        <f t="shared" si="47"/>
        <v>267.16115961565157</v>
      </c>
      <c r="M243" s="110">
        <f t="shared" si="47"/>
        <v>263.88487292530834</v>
      </c>
      <c r="N243" s="110">
        <f t="shared" si="47"/>
        <v>261.08498147192518</v>
      </c>
      <c r="O243" s="434"/>
      <c r="P243" s="110">
        <f t="shared" ref="P243:AE243" si="48">P227+P226+P232</f>
        <v>319.01629592731655</v>
      </c>
      <c r="Q243" s="110">
        <f>Q227+Q226+Q232</f>
        <v>306.82112110923993</v>
      </c>
      <c r="R243" s="110">
        <f>R227+R226+R232</f>
        <v>297.26748833499903</v>
      </c>
      <c r="S243" s="110">
        <f>S227+S226+S232</f>
        <v>288.82782631458872</v>
      </c>
      <c r="T243" s="110">
        <f>T227+T226+T232</f>
        <v>281.14493797616444</v>
      </c>
      <c r="U243" s="110">
        <f>U227+U226+U232</f>
        <v>277.29879347444273</v>
      </c>
      <c r="V243" s="434"/>
      <c r="W243" s="110">
        <f t="shared" si="48"/>
        <v>334.98703018423942</v>
      </c>
      <c r="X243" s="110">
        <f t="shared" ref="X243:AC243" si="49">X227+X226+X232</f>
        <v>319.01629592731655</v>
      </c>
      <c r="Y243" s="110">
        <f t="shared" si="49"/>
        <v>306.82112110923993</v>
      </c>
      <c r="Z243" s="110">
        <f t="shared" si="49"/>
        <v>297.26748833499903</v>
      </c>
      <c r="AA243" s="110">
        <f t="shared" si="49"/>
        <v>288.82782631458872</v>
      </c>
      <c r="AB243" s="110">
        <f t="shared" si="49"/>
        <v>281.14493797616444</v>
      </c>
      <c r="AC243" s="110">
        <f t="shared" si="49"/>
        <v>277.29879347444273</v>
      </c>
      <c r="AD243" s="434"/>
      <c r="AE243" s="110">
        <f t="shared" si="48"/>
        <v>446.20208696861687</v>
      </c>
      <c r="AF243" s="110">
        <f t="shared" ref="AF243" si="50">AF227+AF226+AF232</f>
        <v>394.63575598943407</v>
      </c>
      <c r="AG243" s="110">
        <f t="shared" ref="AG243" si="51">AG227+AG226+AG232</f>
        <v>355.73483963671742</v>
      </c>
      <c r="AH243" s="110">
        <f t="shared" ref="AH243" si="52">AH227+AH226+AH232</f>
        <v>325.34349873615713</v>
      </c>
      <c r="AI243" s="110">
        <f t="shared" ref="AI243" si="53">AI227+AI226+AI232</f>
        <v>300.94481660472195</v>
      </c>
      <c r="AJ243" s="110">
        <f t="shared" ref="AJ243" si="54">AJ227+AJ226+AJ232</f>
        <v>280.29124046359073</v>
      </c>
      <c r="AK243" s="110"/>
      <c r="AL243" s="110"/>
    </row>
    <row r="244" spans="1:38" x14ac:dyDescent="0.15">
      <c r="A244" s="98" t="s">
        <v>412</v>
      </c>
      <c r="B244" s="110">
        <f t="shared" ref="B244:G244" si="55">B226/B227*100</f>
        <v>46.373669408425329</v>
      </c>
      <c r="C244" s="110">
        <f t="shared" si="55"/>
        <v>47.418351009855819</v>
      </c>
      <c r="D244" s="110">
        <f t="shared" si="55"/>
        <v>48.390514117369868</v>
      </c>
      <c r="E244" s="110">
        <f t="shared" si="55"/>
        <v>49.290559529886544</v>
      </c>
      <c r="F244" s="110">
        <f t="shared" si="55"/>
        <v>50.132728525410556</v>
      </c>
      <c r="G244" s="110">
        <f t="shared" si="55"/>
        <v>50.907167971541433</v>
      </c>
      <c r="H244" s="434"/>
      <c r="I244" s="110">
        <f t="shared" ref="I244:N244" si="56">I226/I227*100</f>
        <v>41.908529996780508</v>
      </c>
      <c r="J244" s="110">
        <f t="shared" si="56"/>
        <v>43.504226111080342</v>
      </c>
      <c r="K244" s="110">
        <f t="shared" si="56"/>
        <v>44.939663954357599</v>
      </c>
      <c r="L244" s="110">
        <f t="shared" si="56"/>
        <v>46.155578151693263</v>
      </c>
      <c r="M244" s="110">
        <f t="shared" si="56"/>
        <v>47.330657088351757</v>
      </c>
      <c r="N244" s="110">
        <f t="shared" si="56"/>
        <v>48.391597667912443</v>
      </c>
      <c r="O244" s="434"/>
      <c r="P244" s="110">
        <f t="shared" ref="P244:AE244" si="57">P226/P227*100</f>
        <v>39.646747955679537</v>
      </c>
      <c r="Q244" s="110">
        <f>Q226/Q227*100</f>
        <v>41.049085534223735</v>
      </c>
      <c r="R244" s="110">
        <f>R226/R227*100</f>
        <v>42.427268377764236</v>
      </c>
      <c r="S244" s="110">
        <f>S226/S227*100</f>
        <v>43.595675077361321</v>
      </c>
      <c r="T244" s="110">
        <f>T226/T227*100</f>
        <v>44.670887609751972</v>
      </c>
      <c r="U244" s="110">
        <f>U226/U227*100</f>
        <v>45.8072055637777</v>
      </c>
      <c r="V244" s="434"/>
      <c r="W244" s="110">
        <f t="shared" si="57"/>
        <v>38.105591209059277</v>
      </c>
      <c r="X244" s="110">
        <f t="shared" ref="X244:AC244" si="58">X226/X227*100</f>
        <v>39.646747955679537</v>
      </c>
      <c r="Y244" s="110">
        <f t="shared" si="58"/>
        <v>41.049085534223735</v>
      </c>
      <c r="Z244" s="110">
        <f t="shared" si="58"/>
        <v>42.427268377764236</v>
      </c>
      <c r="AA244" s="110">
        <f t="shared" si="58"/>
        <v>43.595675077361321</v>
      </c>
      <c r="AB244" s="110">
        <f t="shared" si="58"/>
        <v>44.670887609751972</v>
      </c>
      <c r="AC244" s="110">
        <f t="shared" si="58"/>
        <v>45.8072055637777</v>
      </c>
      <c r="AD244" s="434"/>
      <c r="AE244" s="110">
        <f t="shared" si="57"/>
        <v>37.433233649988907</v>
      </c>
      <c r="AF244" s="110">
        <f t="shared" ref="AF244" si="59">AF226/AF227*100</f>
        <v>38.144682147359219</v>
      </c>
      <c r="AG244" s="110">
        <f t="shared" ref="AG244" si="60">AG226/AG227*100</f>
        <v>38.829423029877994</v>
      </c>
      <c r="AH244" s="110">
        <f t="shared" ref="AH244" si="61">AH226/AH227*100</f>
        <v>39.488932486334207</v>
      </c>
      <c r="AI244" s="110">
        <f t="shared" ref="AI244" si="62">AI226/AI227*100</f>
        <v>40.124579883989668</v>
      </c>
      <c r="AJ244" s="110">
        <f t="shared" ref="AJ244" si="63">AJ226/AJ227*100</f>
        <v>40.988740054690034</v>
      </c>
      <c r="AK244" s="110"/>
      <c r="AL244" s="110"/>
    </row>
    <row r="245" spans="1:38" x14ac:dyDescent="0.15">
      <c r="A245" s="98" t="s">
        <v>410</v>
      </c>
      <c r="B245" s="110">
        <f t="shared" ref="B245:G245" si="64">B232/B227*100</f>
        <v>51.102948279184226</v>
      </c>
      <c r="C245" s="110">
        <f t="shared" si="64"/>
        <v>52.863542165174337</v>
      </c>
      <c r="D245" s="110">
        <f t="shared" si="64"/>
        <v>55.458022741432579</v>
      </c>
      <c r="E245" s="110">
        <f t="shared" si="64"/>
        <v>58.173889130958734</v>
      </c>
      <c r="F245" s="110">
        <f t="shared" si="64"/>
        <v>60.408198979777616</v>
      </c>
      <c r="G245" s="110">
        <f t="shared" si="64"/>
        <v>63.059031547496367</v>
      </c>
      <c r="H245" s="434"/>
      <c r="I245" s="110">
        <f t="shared" ref="I245:N245" si="65">I232/I227*100</f>
        <v>48.654707486363989</v>
      </c>
      <c r="J245" s="110">
        <f t="shared" si="65"/>
        <v>50.543037742936782</v>
      </c>
      <c r="K245" s="110">
        <f t="shared" si="65"/>
        <v>52.238426913125672</v>
      </c>
      <c r="L245" s="110">
        <f t="shared" si="65"/>
        <v>53.3690391947097</v>
      </c>
      <c r="M245" s="110">
        <f t="shared" si="65"/>
        <v>54.771508766637581</v>
      </c>
      <c r="N245" s="110">
        <f t="shared" si="65"/>
        <v>56.040260644790962</v>
      </c>
      <c r="O245" s="434"/>
      <c r="P245" s="110">
        <f t="shared" ref="P245:AE245" si="66">P232/P227*100</f>
        <v>46.622245667842272</v>
      </c>
      <c r="Q245" s="110">
        <f>Q232/Q227*100</f>
        <v>48.454960844852181</v>
      </c>
      <c r="R245" s="110">
        <f>R232/R227*100</f>
        <v>49.799821112655742</v>
      </c>
      <c r="S245" s="110">
        <f>S232/S227*100</f>
        <v>51.345612794964779</v>
      </c>
      <c r="T245" s="110">
        <f>T232/T227*100</f>
        <v>52.404785051250727</v>
      </c>
      <c r="U245" s="110">
        <f>U232/U227*100</f>
        <v>54.168719050063295</v>
      </c>
      <c r="V245" s="434"/>
      <c r="W245" s="110">
        <f t="shared" si="66"/>
        <v>45.062982939116424</v>
      </c>
      <c r="X245" s="110">
        <f t="shared" ref="X245:AC245" si="67">X232/X227*100</f>
        <v>46.622245667842272</v>
      </c>
      <c r="Y245" s="110">
        <f t="shared" si="67"/>
        <v>48.454960844852181</v>
      </c>
      <c r="Z245" s="110">
        <f t="shared" si="67"/>
        <v>49.799821112655742</v>
      </c>
      <c r="AA245" s="110">
        <f t="shared" si="67"/>
        <v>51.345612794964779</v>
      </c>
      <c r="AB245" s="110">
        <f t="shared" si="67"/>
        <v>52.404785051250727</v>
      </c>
      <c r="AC245" s="110">
        <f t="shared" si="67"/>
        <v>54.168719050063295</v>
      </c>
      <c r="AD245" s="434"/>
      <c r="AE245" s="110">
        <f t="shared" si="66"/>
        <v>44.571814827858233</v>
      </c>
      <c r="AF245" s="110">
        <f t="shared" ref="AF245" si="68">AF232/AF227*100</f>
        <v>45.450695077483722</v>
      </c>
      <c r="AG245" s="110">
        <f t="shared" ref="AG245" si="69">AG232/AG227*100</f>
        <v>46.296582362341724</v>
      </c>
      <c r="AH245" s="110">
        <f t="shared" ref="AH245" si="70">AH232/AH227*100</f>
        <v>47.111300276376362</v>
      </c>
      <c r="AI245" s="110">
        <f t="shared" ref="AI245" si="71">AI232/AI227*100</f>
        <v>47.896540452706979</v>
      </c>
      <c r="AJ245" s="110">
        <f t="shared" ref="AJ245" si="72">AJ232/AJ227*100</f>
        <v>48.823587440130645</v>
      </c>
      <c r="AK245" s="110"/>
      <c r="AL245" s="110"/>
    </row>
    <row r="246" spans="1:38" x14ac:dyDescent="0.15">
      <c r="A246" s="98" t="s">
        <v>411</v>
      </c>
      <c r="B246" s="110">
        <f t="shared" ref="B246:G246" si="73">B227/B226*100</f>
        <v>215.63961031263932</v>
      </c>
      <c r="C246" s="110">
        <f t="shared" si="73"/>
        <v>210.88881808482793</v>
      </c>
      <c r="D246" s="110">
        <f t="shared" si="73"/>
        <v>206.65207184501645</v>
      </c>
      <c r="E246" s="110">
        <f t="shared" si="73"/>
        <v>202.87860587049451</v>
      </c>
      <c r="F246" s="110">
        <f t="shared" si="73"/>
        <v>199.47049151596337</v>
      </c>
      <c r="G246" s="110">
        <f t="shared" si="73"/>
        <v>196.43599120639135</v>
      </c>
      <c r="H246" s="434"/>
      <c r="I246" s="110">
        <f t="shared" ref="I246:N246" si="74">I227/I226*100</f>
        <v>238.61490729377098</v>
      </c>
      <c r="J246" s="110">
        <f t="shared" si="74"/>
        <v>229.862725852582</v>
      </c>
      <c r="K246" s="110">
        <f t="shared" si="74"/>
        <v>222.52057803895406</v>
      </c>
      <c r="L246" s="110">
        <f t="shared" si="74"/>
        <v>216.65853620410428</v>
      </c>
      <c r="M246" s="110">
        <f t="shared" si="74"/>
        <v>211.27955146139382</v>
      </c>
      <c r="N246" s="110">
        <f t="shared" si="74"/>
        <v>206.64744463749773</v>
      </c>
      <c r="O246" s="434"/>
      <c r="P246" s="110">
        <f t="shared" ref="P246:AE246" si="75">P227/P226*100</f>
        <v>252.227496973493</v>
      </c>
      <c r="Q246" s="110">
        <f>Q227/Q226*100</f>
        <v>243.61078620527928</v>
      </c>
      <c r="R246" s="110">
        <f>R227/R226*100</f>
        <v>235.6974743450821</v>
      </c>
      <c r="S246" s="110">
        <f>S227/S226*100</f>
        <v>229.3805516775418</v>
      </c>
      <c r="T246" s="110">
        <f>T227/T226*100</f>
        <v>223.85944258284511</v>
      </c>
      <c r="U246" s="110">
        <f>U227/U226*100</f>
        <v>218.30626594492713</v>
      </c>
      <c r="V246" s="434"/>
      <c r="W246" s="110">
        <f t="shared" si="75"/>
        <v>262.42867995766949</v>
      </c>
      <c r="X246" s="110">
        <f t="shared" ref="X246:AC246" si="76">X227/X226*100</f>
        <v>252.227496973493</v>
      </c>
      <c r="Y246" s="110">
        <f t="shared" si="76"/>
        <v>243.61078620527928</v>
      </c>
      <c r="Z246" s="110">
        <f t="shared" si="76"/>
        <v>235.6974743450821</v>
      </c>
      <c r="AA246" s="110">
        <f t="shared" si="76"/>
        <v>229.3805516775418</v>
      </c>
      <c r="AB246" s="110">
        <f t="shared" si="76"/>
        <v>223.85944258284511</v>
      </c>
      <c r="AC246" s="110">
        <f t="shared" si="76"/>
        <v>218.30626594492713</v>
      </c>
      <c r="AD246" s="434"/>
      <c r="AE246" s="110">
        <f t="shared" si="75"/>
        <v>267.14229642842957</v>
      </c>
      <c r="AF246" s="110">
        <f t="shared" ref="AF246" si="77">AF227/AF226*100</f>
        <v>262.1597412024131</v>
      </c>
      <c r="AG246" s="110">
        <f t="shared" ref="AG246" si="78">AG227/AG226*100</f>
        <v>257.536662141627</v>
      </c>
      <c r="AH246" s="110">
        <f t="shared" ref="AH246" si="79">AH227/AH226*100</f>
        <v>253.23551107543017</v>
      </c>
      <c r="AI246" s="110">
        <f t="shared" ref="AI246" si="80">AI227/AI226*100</f>
        <v>249.22379321883329</v>
      </c>
      <c r="AJ246" s="110">
        <f t="shared" ref="AJ246" si="81">AJ227/AJ226*100</f>
        <v>243.96944103813149</v>
      </c>
      <c r="AK246" s="110"/>
      <c r="AL246" s="110"/>
    </row>
    <row r="247" spans="1:38" x14ac:dyDescent="0.15">
      <c r="A247" s="98" t="s">
        <v>413</v>
      </c>
      <c r="B247" s="110">
        <f t="shared" ref="B247:G247" si="82">B227/B232*100</f>
        <v>195.68342603969293</v>
      </c>
      <c r="C247" s="110">
        <f t="shared" si="82"/>
        <v>189.16628720706197</v>
      </c>
      <c r="D247" s="110">
        <f t="shared" si="82"/>
        <v>180.31656207117209</v>
      </c>
      <c r="E247" s="110">
        <f t="shared" si="82"/>
        <v>171.89842641409791</v>
      </c>
      <c r="F247" s="110">
        <f t="shared" si="82"/>
        <v>165.54044266983729</v>
      </c>
      <c r="G247" s="110">
        <f t="shared" si="82"/>
        <v>158.58156642427898</v>
      </c>
      <c r="H247" s="434"/>
      <c r="I247" s="110">
        <f t="shared" ref="I247:N247" si="83">I227/I232*100</f>
        <v>205.5299582841518</v>
      </c>
      <c r="J247" s="110">
        <f t="shared" si="83"/>
        <v>197.8511867620673</v>
      </c>
      <c r="K247" s="110">
        <f t="shared" si="83"/>
        <v>191.42996048924579</v>
      </c>
      <c r="L247" s="110">
        <f t="shared" si="83"/>
        <v>187.37455556425436</v>
      </c>
      <c r="M247" s="110">
        <f t="shared" si="83"/>
        <v>182.57667581527716</v>
      </c>
      <c r="N247" s="110">
        <f t="shared" si="83"/>
        <v>178.44313864606403</v>
      </c>
      <c r="O247" s="434"/>
      <c r="P247" s="110">
        <f t="shared" ref="P247:AE247" si="84">P227/P232*100</f>
        <v>214.48988260334932</v>
      </c>
      <c r="Q247" s="110">
        <f>Q227/Q232*100</f>
        <v>206.37721763967519</v>
      </c>
      <c r="R247" s="110">
        <f>R227/R232*100</f>
        <v>200.80393416229919</v>
      </c>
      <c r="S247" s="110">
        <f>S227/S232*100</f>
        <v>194.7586065421475</v>
      </c>
      <c r="T247" s="110">
        <f>T227/T232*100</f>
        <v>190.82226919202552</v>
      </c>
      <c r="U247" s="110">
        <f>U227/U232*100</f>
        <v>184.60838977487902</v>
      </c>
      <c r="V247" s="434"/>
      <c r="W247" s="110">
        <f t="shared" si="84"/>
        <v>221.91163007364102</v>
      </c>
      <c r="X247" s="110">
        <f t="shared" ref="X247:AC247" si="85">X227/X232*100</f>
        <v>214.48988260334932</v>
      </c>
      <c r="Y247" s="110">
        <f t="shared" si="85"/>
        <v>206.37721763967519</v>
      </c>
      <c r="Z247" s="110">
        <f t="shared" si="85"/>
        <v>200.80393416229919</v>
      </c>
      <c r="AA247" s="110">
        <f t="shared" si="85"/>
        <v>194.7586065421475</v>
      </c>
      <c r="AB247" s="110">
        <f t="shared" si="85"/>
        <v>190.82226919202552</v>
      </c>
      <c r="AC247" s="110">
        <f t="shared" si="85"/>
        <v>184.60838977487902</v>
      </c>
      <c r="AD247" s="434"/>
      <c r="AE247" s="110">
        <f t="shared" si="84"/>
        <v>224.35703007878894</v>
      </c>
      <c r="AF247" s="110">
        <f t="shared" ref="AF247" si="86">AF227/AF232*100</f>
        <v>220.0186374037215</v>
      </c>
      <c r="AG247" s="110">
        <f t="shared" ref="AG247" si="87">AG227/AG232*100</f>
        <v>215.99866533850536</v>
      </c>
      <c r="AH247" s="110">
        <f t="shared" ref="AH247" si="88">AH227/AH232*100</f>
        <v>212.26329864247947</v>
      </c>
      <c r="AI247" s="110">
        <f t="shared" ref="AI247" si="89">AI227/AI232*100</f>
        <v>208.78334646891656</v>
      </c>
      <c r="AJ247" s="110">
        <f t="shared" ref="AJ247" si="90">AJ227/AJ232*100</f>
        <v>204.8190336742949</v>
      </c>
      <c r="AK247" s="110"/>
      <c r="AL247" s="110"/>
    </row>
    <row r="248" spans="1:38" x14ac:dyDescent="0.15">
      <c r="A248" s="8" t="s">
        <v>380</v>
      </c>
      <c r="B248" s="61">
        <f>(SUMPRODUCT(B$8:B$217,Nutrients!$AJ$8:$AJ$217)+(IF($A6=Nutrients!$B$8,Nutrients!$AJ$8,Nutrients!$AJ$9)*B$6)+(((IF($A7=Nutrients!$B$79,Nutrients!$AJ$79,(IF($A7=Nutrients!$B$77,Nutrients!$AJ$77,Nutrients!$AJ$78)))))*B$7))/2000</f>
        <v>1.1284829958357148</v>
      </c>
      <c r="C248" s="61">
        <f>(SUMPRODUCT(C$8:C$217,Nutrients!$AJ$8:$AJ$217)+(IF($A6=Nutrients!$B$8,Nutrients!$AJ$8,Nutrients!$AJ$9)*C$6)+(((IF($A7=Nutrients!$B$79,Nutrients!$AJ$79,(IF($A7=Nutrients!$B$77,Nutrients!$AJ$77,Nutrients!$AJ$78)))))*C$7))/2000</f>
        <v>1.2347763574753003</v>
      </c>
      <c r="D248" s="61">
        <f>(SUMPRODUCT(D$8:D$217,Nutrients!$AJ$8:$AJ$217)+(IF($A6=Nutrients!$B$8,Nutrients!$AJ$8,Nutrients!$AJ$9)*D$6)+(((IF($A7=Nutrients!$B$79,Nutrients!$AJ$79,(IF($A7=Nutrients!$B$77,Nutrients!$AJ$77,Nutrients!$AJ$78)))))*D$7))/2000</f>
        <v>1.3410538580876947</v>
      </c>
      <c r="E248" s="61">
        <f>(SUMPRODUCT(E$8:E$217,Nutrients!$AJ$8:$AJ$217)+(IF($A6=Nutrients!$B$8,Nutrients!$AJ$8,Nutrients!$AJ$9)*E$6)+(((IF($A7=Nutrients!$B$79,Nutrients!$AJ$79,(IF($A7=Nutrients!$B$77,Nutrients!$AJ$77,Nutrients!$AJ$78)))))*E$7))/2000</f>
        <v>1.4473404221441986</v>
      </c>
      <c r="F248" s="61">
        <f>(SUMPRODUCT(F$8:F$217,Nutrients!$AJ$8:$AJ$217)+(IF($A6=Nutrients!$B$8,Nutrients!$AJ$8,Nutrients!$AJ$9)*F$6)+(((IF($A7=Nutrients!$B$79,Nutrients!$AJ$79,(IF($A7=Nutrients!$B$77,Nutrients!$AJ$77,Nutrients!$AJ$78)))))*F$7))/2000</f>
        <v>1.5536133910345387</v>
      </c>
      <c r="G248" s="61">
        <f>(SUMPRODUCT(G$8:G$217,Nutrients!$AJ$8:$AJ$217)+(IF($A6=Nutrients!$B$8,Nutrients!$AJ$8,Nutrients!$AJ$9)*G$6)+(((IF($A7=Nutrients!$B$79,Nutrients!$AJ$79,(IF($A7=Nutrients!$B$77,Nutrients!$AJ$77,Nutrients!$AJ$78)))))*G$7))/2000</f>
        <v>1.6599248795623416</v>
      </c>
      <c r="H248" s="432"/>
      <c r="I248" s="61">
        <f>(SUMPRODUCT(I$8:I$217,Nutrients!$AJ$8:$AJ$217)+(IF($A6=Nutrients!$B$8,Nutrients!$AJ$8,Nutrients!$AJ$9)*I$6)+(((IF($A7=Nutrients!$B$79,Nutrients!$AJ$79,(IF($A7=Nutrients!$B$77,Nutrients!$AJ$77,Nutrients!$AJ$78)))))*I$7))/2000</f>
        <v>0.90521712664325971</v>
      </c>
      <c r="J248" s="61">
        <f>(SUMPRODUCT(J$8:J$217,Nutrients!$AJ$8:$AJ$217)+(IF($A6=Nutrients!$B$8,Nutrients!$AJ$8,Nutrients!$AJ$9)*J$6)+(((IF($A7=Nutrients!$B$79,Nutrients!$AJ$79,(IF($A7=Nutrients!$B$77,Nutrients!$AJ$77,Nutrients!$AJ$78)))))*J$7))/2000</f>
        <v>0.99296091369314954</v>
      </c>
      <c r="K248" s="61">
        <f>(SUMPRODUCT(K$8:K$217,Nutrients!$AJ$8:$AJ$217)+(IF($A6=Nutrients!$B$8,Nutrients!$AJ$8,Nutrients!$AJ$9)*K$6)+(((IF($A7=Nutrients!$B$79,Nutrients!$AJ$79,(IF($A7=Nutrients!$B$77,Nutrients!$AJ$77,Nutrients!$AJ$78)))))*K$7))/2000</f>
        <v>1.0806775104107122</v>
      </c>
      <c r="L248" s="61">
        <f>(SUMPRODUCT(L$8:L$217,Nutrients!$AJ$8:$AJ$217)+(IF($A6=Nutrients!$B$8,Nutrients!$AJ$8,Nutrients!$AJ$9)*L$6)+(((IF($A7=Nutrients!$B$79,Nutrients!$AJ$79,(IF($A7=Nutrients!$B$77,Nutrients!$AJ$77,Nutrients!$AJ$78)))))*L$7))/2000</f>
        <v>1.1679998415938599</v>
      </c>
      <c r="M248" s="61">
        <f>(SUMPRODUCT(M$8:M$217,Nutrients!$AJ$8:$AJ$217)+(IF($A6=Nutrients!$B$8,Nutrients!$AJ$8,Nutrients!$AJ$9)*M$6)+(((IF($A7=Nutrients!$B$79,Nutrients!$AJ$79,(IF($A7=Nutrients!$B$77,Nutrients!$AJ$77,Nutrients!$AJ$78)))))*M$7))/2000</f>
        <v>1.2557164383114237</v>
      </c>
      <c r="N248" s="61">
        <f>(SUMPRODUCT(N$8:N$217,Nutrients!$AJ$8:$AJ$217)+(IF($A6=Nutrients!$B$8,Nutrients!$AJ$8,Nutrients!$AJ$9)*N$6)+(((IF($A7=Nutrients!$B$79,Nutrients!$AJ$79,(IF($A7=Nutrients!$B$77,Nutrients!$AJ$77,Nutrients!$AJ$78)))))*N$7))/2000</f>
        <v>1.3434556936392588</v>
      </c>
      <c r="O248" s="432"/>
      <c r="P248" s="61">
        <f>(SUMPRODUCT(P$8:P$217,Nutrients!$AJ$8:$AJ$217)+(IF($A6=Nutrients!$B$8,Nutrients!$AJ$8,Nutrients!$AJ$9)*P$6)+(((IF($A7=Nutrients!$B$79,Nutrients!$AJ$79,(IF($A7=Nutrients!$B$77,Nutrients!$AJ$77,Nutrients!$AJ$78)))))*P$7))/2000</f>
        <v>0.74685519229198982</v>
      </c>
      <c r="Q248" s="61">
        <f>(SUMPRODUCT(Q$8:Q$217,Nutrients!$AJ$8:$AJ$217)+(IF($A6=Nutrients!$B$8,Nutrients!$AJ$8,Nutrients!$AJ$9)*Q$6)+(((IF($A7=Nutrients!$B$79,Nutrients!$AJ$79,(IF($A7=Nutrients!$B$77,Nutrients!$AJ$77,Nutrients!$AJ$78)))))*Q$7))/2000</f>
        <v>0.82265723932391621</v>
      </c>
      <c r="R248" s="61">
        <f>(SUMPRODUCT(R$8:R$217,Nutrients!$AJ$8:$AJ$217)+(IF($A6=Nutrients!$B$8,Nutrients!$AJ$8,Nutrients!$AJ$9)*R$6)+(((IF($A7=Nutrients!$B$79,Nutrients!$AJ$79,(IF($A7=Nutrients!$B$77,Nutrients!$AJ$77,Nutrients!$AJ$78)))))*R$7))/2000</f>
        <v>0.89885581775128587</v>
      </c>
      <c r="S248" s="61">
        <f>(SUMPRODUCT(S$8:S$217,Nutrients!$AJ$8:$AJ$217)+(IF($A6=Nutrients!$B$8,Nutrients!$AJ$8,Nutrients!$AJ$9)*S$6)+(((IF($A7=Nutrients!$B$79,Nutrients!$AJ$79,(IF($A7=Nutrients!$B$77,Nutrients!$AJ$77,Nutrients!$AJ$78)))))*S$7))/2000</f>
        <v>0.97465786478321237</v>
      </c>
      <c r="T248" s="61">
        <f>(SUMPRODUCT(T$8:T$217,Nutrients!$AJ$8:$AJ$217)+(IF($A6=Nutrients!$B$8,Nutrients!$AJ$8,Nutrients!$AJ$9)*T$6)+(((IF($A7=Nutrients!$B$79,Nutrients!$AJ$79,(IF($A7=Nutrients!$B$77,Nutrients!$AJ$77,Nutrients!$AJ$78)))))*T$7))/2000</f>
        <v>1.0504621776761656</v>
      </c>
      <c r="U248" s="61">
        <f>(SUMPRODUCT(U$8:U$217,Nutrients!$AJ$8:$AJ$217)+(IF($A6=Nutrients!$B$8,Nutrients!$AJ$8,Nutrients!$AJ$9)*U$6)+(((IF($A7=Nutrients!$B$79,Nutrients!$AJ$79,(IF($A7=Nutrients!$B$77,Nutrients!$AJ$77,Nutrients!$AJ$78)))))*U$7))/2000</f>
        <v>1.1270939944476199</v>
      </c>
      <c r="V248" s="432"/>
      <c r="W248" s="61">
        <f>(SUMPRODUCT(W$8:W$217,Nutrients!$AJ$8:$AJ$217)+(IF($A6=Nutrients!$B$8,Nutrients!$AJ$8,Nutrients!$AJ$9)*W$6)+(((IF($A7=Nutrients!$B$79,Nutrients!$AJ$79,(IF($A7=Nutrients!$B$77,Nutrients!$AJ$77,Nutrients!$AJ$78)))))*W$7))/2000</f>
        <v>0.67105314526006377</v>
      </c>
      <c r="X248" s="61">
        <f>(SUMPRODUCT(X$8:X$217,Nutrients!$AJ$8:$AJ$217)+(IF($A6=Nutrients!$B$8,Nutrients!$AJ$8,Nutrients!$AJ$9)*X$6)+(((IF($A7=Nutrients!$B$79,Nutrients!$AJ$79,(IF($A7=Nutrients!$B$77,Nutrients!$AJ$77,Nutrients!$AJ$78)))))*X$7))/2000</f>
        <v>0.74685519229198982</v>
      </c>
      <c r="Y248" s="61">
        <f>(SUMPRODUCT(Y$8:Y$217,Nutrients!$AJ$8:$AJ$217)+(IF($A6=Nutrients!$B$8,Nutrients!$AJ$8,Nutrients!$AJ$9)*Y$6)+(((IF($A7=Nutrients!$B$79,Nutrients!$AJ$79,(IF($A7=Nutrients!$B$77,Nutrients!$AJ$77,Nutrients!$AJ$78)))))*Y$7))/2000</f>
        <v>0.82265723932391621</v>
      </c>
      <c r="Z248" s="61">
        <f>(SUMPRODUCT(Z$8:Z$217,Nutrients!$AJ$8:$AJ$217)+(IF($A6=Nutrients!$B$8,Nutrients!$AJ$8,Nutrients!$AJ$9)*Z$6)+(((IF($A7=Nutrients!$B$79,Nutrients!$AJ$79,(IF($A7=Nutrients!$B$77,Nutrients!$AJ$77,Nutrients!$AJ$78)))))*Z$7))/2000</f>
        <v>0.89885581775128587</v>
      </c>
      <c r="AA248" s="61">
        <f>(SUMPRODUCT(AA$8:AA$217,Nutrients!$AJ$8:$AJ$217)+(IF($A6=Nutrients!$B$8,Nutrients!$AJ$8,Nutrients!$AJ$9)*AA$6)+(((IF($A7=Nutrients!$B$79,Nutrients!$AJ$79,(IF($A7=Nutrients!$B$77,Nutrients!$AJ$77,Nutrients!$AJ$78)))))*AA$7))/2000</f>
        <v>0.97465786478321237</v>
      </c>
      <c r="AB248" s="61">
        <f>(SUMPRODUCT(AB$8:AB$217,Nutrients!$AJ$8:$AJ$217)+(IF($A6=Nutrients!$B$8,Nutrients!$AJ$8,Nutrients!$AJ$9)*AB$6)+(((IF($A7=Nutrients!$B$79,Nutrients!$AJ$79,(IF($A7=Nutrients!$B$77,Nutrients!$AJ$77,Nutrients!$AJ$78)))))*AB$7))/2000</f>
        <v>1.0504621776761656</v>
      </c>
      <c r="AC248" s="61">
        <f>(SUMPRODUCT(AC$8:AC$217,Nutrients!$AJ$8:$AJ$217)+(IF($A6=Nutrients!$B$8,Nutrients!$AJ$8,Nutrients!$AJ$9)*AC$6)+(((IF($A7=Nutrients!$B$79,Nutrients!$AJ$79,(IF($A7=Nutrients!$B$77,Nutrients!$AJ$77,Nutrients!$AJ$78)))))*AC$7))/2000</f>
        <v>1.1270939944476199</v>
      </c>
      <c r="AD248" s="432"/>
      <c r="AE248" s="61">
        <f>(SUMPRODUCT(AE$8:AE$217,Nutrients!$AJ$8:$AJ$217)+(IF($A6=Nutrients!$B$8,Nutrients!$AJ$8,Nutrients!$AJ$9)*AE$6)+(((IF($A7=Nutrients!$B$79,Nutrients!$AJ$79,(IF($A7=Nutrients!$B$77,Nutrients!$AJ$77,Nutrients!$AJ$78)))))*AE$7))/2000</f>
        <v>0.51995611170082456</v>
      </c>
      <c r="AF248" s="61">
        <f>(SUMPRODUCT(AF$8:AF$217,Nutrients!$AJ$8:$AJ$217)+(IF($A6=Nutrients!$B$8,Nutrients!$AJ$8,Nutrients!$AJ$9)*AF$6)+(((IF($A7=Nutrients!$B$79,Nutrients!$AJ$79,(IF($A7=Nutrients!$B$77,Nutrients!$AJ$77,Nutrients!$AJ$78)))))*AF$7))/2000</f>
        <v>0.59228772025802223</v>
      </c>
      <c r="AG248" s="61">
        <f>(SUMPRODUCT(AG$8:AG$217,Nutrients!$AJ$8:$AJ$217)+(IF($A6=Nutrients!$B$8,Nutrients!$AJ$8,Nutrients!$AJ$9)*AG$6)+(((IF($A7=Nutrients!$B$79,Nutrients!$AJ$79,(IF($A7=Nutrients!$B$77,Nutrients!$AJ$77,Nutrients!$AJ$78)))))*AG$7))/2000</f>
        <v>0.66461932881522023</v>
      </c>
      <c r="AH248" s="61">
        <f>(SUMPRODUCT(AH$8:AH$217,Nutrients!$AJ$8:$AJ$217)+(IF($A6=Nutrients!$B$8,Nutrients!$AJ$8,Nutrients!$AJ$9)*AH$6)+(((IF($A7=Nutrients!$B$79,Nutrients!$AJ$79,(IF($A7=Nutrients!$B$77,Nutrients!$AJ$77,Nutrients!$AJ$78)))))*AH$7))/2000</f>
        <v>0.73695093737241724</v>
      </c>
      <c r="AI248" s="61">
        <f>(SUMPRODUCT(AI$8:AI$217,Nutrients!$AJ$8:$AJ$217)+(IF($A6=Nutrients!$B$8,Nutrients!$AJ$8,Nutrients!$AJ$9)*AI$6)+(((IF($A7=Nutrients!$B$79,Nutrients!$AJ$79,(IF($A7=Nutrients!$B$77,Nutrients!$AJ$77,Nutrients!$AJ$78)))))*AI$7))/2000</f>
        <v>0.80928254592961557</v>
      </c>
      <c r="AJ248" s="61">
        <f>(SUMPRODUCT(AJ$8:AJ$217,Nutrients!$AJ$8:$AJ$217)+(IF($A6=Nutrients!$B$8,Nutrients!$AJ$8,Nutrients!$AJ$9)*AJ$6)+(((IF($A7=Nutrients!$B$79,Nutrients!$AJ$79,(IF($A7=Nutrients!$B$77,Nutrients!$AJ$77,Nutrients!$AJ$78)))))*AJ$7))/2000</f>
        <v>0.89267808851147246</v>
      </c>
      <c r="AK248" s="19"/>
      <c r="AL248" s="19"/>
    </row>
    <row r="249" spans="1:38" x14ac:dyDescent="0.15">
      <c r="A249" s="5" t="s">
        <v>18</v>
      </c>
      <c r="B249" s="56">
        <f>(SUMPRODUCT(B$8:B$217,Nutrients!$E$8:$E$217)+(IF($A$6=Nutrients!$B$8,Nutrients!$E$8,Nutrients!$E$9)*B$6)+(((IF($A$7=Nutrients!$B$79,Nutrients!$E$79,(IF($A$7=Nutrients!$B$77,Nutrients!$E$77,Nutrients!$E$78)))))*B$7))/2000/2.2046</f>
        <v>1532.7909249831855</v>
      </c>
      <c r="C249" s="56">
        <f>(SUMPRODUCT(C$8:C$217,Nutrients!$E$8:$E$217)+(IF($A$6=Nutrients!$B$8,Nutrients!$E$8,Nutrients!$E$9)*C$6)+(((IF($A$7=Nutrients!$B$79,Nutrients!$E$79,(IF($A$7=Nutrients!$B$77,Nutrients!$E$77,Nutrients!$E$78)))))*C$7))/2000/2.2046</f>
        <v>1538.8207931713052</v>
      </c>
      <c r="D249" s="56">
        <f>(SUMPRODUCT(D$8:D$217,Nutrients!$E$8:$E$217)+(IF($A$6=Nutrients!$B$8,Nutrients!$E$8,Nutrients!$E$9)*D$6)+(((IF($A$7=Nutrients!$B$79,Nutrients!$E$79,(IF($A$7=Nutrients!$B$77,Nutrients!$E$77,Nutrients!$E$78)))))*D$7))/2000/2.2046</f>
        <v>1544.3974181681076</v>
      </c>
      <c r="E249" s="56">
        <f>(SUMPRODUCT(E$8:E$217,Nutrients!$E$8:$E$217)+(IF($A$6=Nutrients!$B$8,Nutrients!$E$8,Nutrients!$E$9)*E$6)+(((IF($A$7=Nutrients!$B$79,Nutrients!$E$79,(IF($A$7=Nutrients!$B$77,Nutrients!$E$77,Nutrients!$E$78)))))*E$7))/2000/2.2046</f>
        <v>1550.3734923528623</v>
      </c>
      <c r="F249" s="56">
        <f>(SUMPRODUCT(F$8:F$217,Nutrients!$E$8:$E$217)+(IF($A$6=Nutrients!$B$8,Nutrients!$E$8,Nutrients!$E$9)*F$6)+(((IF($A$7=Nutrients!$B$79,Nutrients!$E$79,(IF($A$7=Nutrients!$B$77,Nutrients!$E$77,Nutrients!$E$78)))))*F$7))/2000/2.2046</f>
        <v>1555.9670533743956</v>
      </c>
      <c r="G249" s="56">
        <f>(SUMPRODUCT(G$8:G$217,Nutrients!$E$8:$E$217)+(IF($A$6=Nutrients!$B$8,Nutrients!$E$8,Nutrients!$E$9)*G$6)+(((IF($A$7=Nutrients!$B$79,Nutrients!$E$79,(IF($A$7=Nutrients!$B$77,Nutrients!$E$77,Nutrients!$E$78)))))*G$7))/2000/2.2046</f>
        <v>1560.8689851384547</v>
      </c>
      <c r="H249" s="436"/>
      <c r="I249" s="56">
        <f>(SUMPRODUCT(I$8:I$217,Nutrients!$E$8:$E$217)+(IF($A$6=Nutrients!$B$8,Nutrients!$E$8,Nutrients!$E$9)*I$6)+(((IF($A$7=Nutrients!$B$79,Nutrients!$E$79,(IF($A$7=Nutrients!$B$77,Nutrients!$E$77,Nutrients!$E$78)))))*I$7))/2000/2.2046</f>
        <v>1527.88289048913</v>
      </c>
      <c r="J249" s="56">
        <f>(SUMPRODUCT(J$8:J$217,Nutrients!$E$8:$E$217)+(IF($A$6=Nutrients!$B$8,Nutrients!$E$8,Nutrients!$E$9)*J$6)+(((IF($A$7=Nutrients!$B$79,Nutrients!$E$79,(IF($A$7=Nutrients!$B$77,Nutrients!$E$77,Nutrients!$E$78)))))*J$7))/2000/2.2046</f>
        <v>1524.4936143442762</v>
      </c>
      <c r="K249" s="56">
        <f>(SUMPRODUCT(K$8:K$217,Nutrients!$E$8:$E$217)+(IF($A$6=Nutrients!$B$8,Nutrients!$E$8,Nutrients!$E$9)*K$6)+(((IF($A$7=Nutrients!$B$79,Nutrients!$E$79,(IF($A$7=Nutrients!$B$77,Nutrients!$E$77,Nutrients!$E$78)))))*K$7))/2000/2.2046</f>
        <v>1522.0207960424443</v>
      </c>
      <c r="L249" s="56">
        <f>(SUMPRODUCT(L$8:L$217,Nutrients!$E$8:$E$217)+(IF($A$6=Nutrients!$B$8,Nutrients!$E$8,Nutrients!$E$9)*L$6)+(((IF($A$7=Nutrients!$B$79,Nutrients!$E$79,(IF($A$7=Nutrients!$B$77,Nutrients!$E$77,Nutrients!$E$78)))))*L$7))/2000/2.2046</f>
        <v>1518.5145067691437</v>
      </c>
      <c r="M249" s="56">
        <f>(SUMPRODUCT(M$8:M$217,Nutrients!$E$8:$E$217)+(IF($A$6=Nutrients!$B$8,Nutrients!$E$8,Nutrients!$E$9)*M$6)+(((IF($A$7=Nutrients!$B$79,Nutrients!$E$79,(IF($A$7=Nutrients!$B$77,Nutrients!$E$77,Nutrients!$E$78)))))*M$7))/2000/2.2046</f>
        <v>1516.0416884673118</v>
      </c>
      <c r="N249" s="56">
        <f>(SUMPRODUCT(N$8:N$217,Nutrients!$E$8:$E$217)+(IF($A$6=Nutrients!$B$8,Nutrients!$E$8,Nutrients!$E$9)*N$6)+(((IF($A$7=Nutrients!$B$79,Nutrients!$E$79,(IF($A$7=Nutrients!$B$77,Nutrients!$E$77,Nutrients!$E$78)))))*N$7))/2000/2.2046</f>
        <v>1512.4980701107736</v>
      </c>
      <c r="O249" s="436"/>
      <c r="P249" s="56">
        <f>(SUMPRODUCT(P$8:P$217,Nutrients!$E$8:$E$217)+(IF($A$6=Nutrients!$B$8,Nutrients!$E$8,Nutrients!$E$9)*P$6)+(((IF($A$7=Nutrients!$B$79,Nutrients!$E$79,(IF($A$7=Nutrients!$B$77,Nutrients!$E$77,Nutrients!$E$78)))))*P$7))/2000/2.2046</f>
        <v>1533.2400820723574</v>
      </c>
      <c r="Q249" s="56">
        <f>(SUMPRODUCT(Q$8:Q$217,Nutrients!$E$8:$E$217)+(IF($A$6=Nutrients!$B$8,Nutrients!$E$8,Nutrients!$E$9)*Q$6)+(((IF($A$7=Nutrients!$B$79,Nutrients!$E$79,(IF($A$7=Nutrients!$B$77,Nutrients!$E$77,Nutrients!$E$78)))))*Q$7))/2000/2.2046</f>
        <v>1530.9024287741006</v>
      </c>
      <c r="R249" s="56">
        <f>(SUMPRODUCT(R$8:R$217,Nutrients!$E$8:$E$217)+(IF($A$6=Nutrients!$B$8,Nutrients!$E$8,Nutrients!$E$9)*R$6)+(((IF($A$7=Nutrients!$B$79,Nutrients!$E$79,(IF($A$7=Nutrients!$B$77,Nutrients!$E$77,Nutrients!$E$78)))))*R$7))/2000/2.2046</f>
        <v>1529.5437383369692</v>
      </c>
      <c r="S249" s="56">
        <f>(SUMPRODUCT(S$8:S$217,Nutrients!$E$8:$E$217)+(IF($A$6=Nutrients!$B$8,Nutrients!$E$8,Nutrients!$E$9)*S$6)+(((IF($A$7=Nutrients!$B$79,Nutrients!$E$79,(IF($A$7=Nutrients!$B$77,Nutrients!$E$77,Nutrients!$E$78)))))*S$7))/2000/2.2046</f>
        <v>1527.206085038712</v>
      </c>
      <c r="T249" s="56">
        <f>(SUMPRODUCT(T$8:T$217,Nutrients!$E$8:$E$217)+(IF($A$6=Nutrients!$B$8,Nutrients!$E$8,Nutrients!$E$9)*T$6)+(((IF($A$7=Nutrients!$B$79,Nutrients!$E$79,(IF($A$7=Nutrients!$B$77,Nutrients!$E$77,Nutrients!$E$78)))))*T$7))/2000/2.2046</f>
        <v>1524.8190492764886</v>
      </c>
      <c r="U249" s="56">
        <f>(SUMPRODUCT(U$8:U$217,Nutrients!$E$8:$E$217)+(IF($A$6=Nutrients!$B$8,Nutrients!$E$8,Nutrients!$E$9)*U$6)+(((IF($A$7=Nutrients!$B$79,Nutrients!$E$79,(IF($A$7=Nutrients!$B$77,Nutrients!$E$77,Nutrients!$E$78)))))*U$7))/2000/2.2046</f>
        <v>1523.734690022638</v>
      </c>
      <c r="V249" s="436"/>
      <c r="W249" s="56">
        <f>(SUMPRODUCT(W$8:W$217,Nutrients!$E$8:$E$217)+(IF($A$6=Nutrients!$B$8,Nutrients!$E$8,Nutrients!$E$9)*W$6)+(((IF($A$7=Nutrients!$B$79,Nutrients!$E$79,(IF($A$7=Nutrients!$B$77,Nutrients!$E$77,Nutrients!$E$78)))))*W$7))/2000/2.2046</f>
        <v>1535.5644449777994</v>
      </c>
      <c r="X249" s="56">
        <f>(SUMPRODUCT(X$8:X$217,Nutrients!$E$8:$E$217)+(IF($A$6=Nutrients!$B$8,Nutrients!$E$8,Nutrients!$E$9)*X$6)+(((IF($A$7=Nutrients!$B$79,Nutrients!$E$79,(IF($A$7=Nutrients!$B$77,Nutrients!$E$77,Nutrients!$E$78)))))*X$7))/2000/2.2046</f>
        <v>1533.2400820723574</v>
      </c>
      <c r="Y249" s="56">
        <f>(SUMPRODUCT(Y$8:Y$217,Nutrients!$E$8:$E$217)+(IF($A$6=Nutrients!$B$8,Nutrients!$E$8,Nutrients!$E$9)*Y$6)+(((IF($A$7=Nutrients!$B$79,Nutrients!$E$79,(IF($A$7=Nutrients!$B$77,Nutrients!$E$77,Nutrients!$E$78)))))*Y$7))/2000/2.2046</f>
        <v>1530.9024287741006</v>
      </c>
      <c r="Z249" s="56">
        <f>(SUMPRODUCT(Z$8:Z$217,Nutrients!$E$8:$E$217)+(IF($A$6=Nutrients!$B$8,Nutrients!$E$8,Nutrients!$E$9)*Z$6)+(((IF($A$7=Nutrients!$B$79,Nutrients!$E$79,(IF($A$7=Nutrients!$B$77,Nutrients!$E$77,Nutrients!$E$78)))))*Z$7))/2000/2.2046</f>
        <v>1529.5437383369692</v>
      </c>
      <c r="AA249" s="56">
        <f>(SUMPRODUCT(AA$8:AA$217,Nutrients!$E$8:$E$217)+(IF($A$6=Nutrients!$B$8,Nutrients!$E$8,Nutrients!$E$9)*AA$6)+(((IF($A$7=Nutrients!$B$79,Nutrients!$E$79,(IF($A$7=Nutrients!$B$77,Nutrients!$E$77,Nutrients!$E$78)))))*AA$7))/2000/2.2046</f>
        <v>1527.206085038712</v>
      </c>
      <c r="AB249" s="56">
        <f>(SUMPRODUCT(AB$8:AB$217,Nutrients!$E$8:$E$217)+(IF($A$6=Nutrients!$B$8,Nutrients!$E$8,Nutrients!$E$9)*AB$6)+(((IF($A$7=Nutrients!$B$79,Nutrients!$E$79,(IF($A$7=Nutrients!$B$77,Nutrients!$E$77,Nutrients!$E$78)))))*AB$7))/2000/2.2046</f>
        <v>1524.8190492764886</v>
      </c>
      <c r="AC249" s="56">
        <f>(SUMPRODUCT(AC$8:AC$217,Nutrients!$E$8:$E$217)+(IF($A$6=Nutrients!$B$8,Nutrients!$E$8,Nutrients!$E$9)*AC$6)+(((IF($A$7=Nutrients!$B$79,Nutrients!$E$79,(IF($A$7=Nutrients!$B$77,Nutrients!$E$77,Nutrients!$E$78)))))*AC$7))/2000/2.2046</f>
        <v>1523.734690022638</v>
      </c>
      <c r="AD249" s="436"/>
      <c r="AE249" s="56">
        <f>(SUMPRODUCT(AE$8:AE$217,Nutrients!$E$8:$E$217)+(IF($A$6=Nutrients!$B$8,Nutrients!$E$8,Nutrients!$E$9)*AE$6)+(((IF($A$7=Nutrients!$B$79,Nutrients!$E$79,(IF($A$7=Nutrients!$B$77,Nutrients!$E$77,Nutrients!$E$78)))))*AE$7))/2000/2.2046</f>
        <v>1512.305692712657</v>
      </c>
      <c r="AF249" s="56">
        <f>(SUMPRODUCT(AF$8:AF$217,Nutrients!$E$8:$E$217)+(IF($A$6=Nutrients!$B$8,Nutrients!$E$8,Nutrients!$E$9)*AF$6)+(((IF($A$7=Nutrients!$B$79,Nutrients!$E$79,(IF($A$7=Nutrients!$B$77,Nutrients!$E$77,Nutrients!$E$78)))))*AF$7))/2000/2.2046</f>
        <v>1514.6482412409644</v>
      </c>
      <c r="AG249" s="56">
        <f>(SUMPRODUCT(AG$8:AG$217,Nutrients!$E$8:$E$217)+(IF($A$6=Nutrients!$B$8,Nutrients!$E$8,Nutrients!$E$9)*AG$6)+(((IF($A$7=Nutrients!$B$79,Nutrients!$E$79,(IF($A$7=Nutrients!$B$77,Nutrients!$E$77,Nutrients!$E$78)))))*AG$7))/2000/2.2046</f>
        <v>1516.9907897692719</v>
      </c>
      <c r="AH249" s="56">
        <f>(SUMPRODUCT(AH$8:AH$217,Nutrients!$E$8:$E$217)+(IF($A$6=Nutrients!$B$8,Nutrients!$E$8,Nutrients!$E$9)*AH$6)+(((IF($A$7=Nutrients!$B$79,Nutrients!$E$79,(IF($A$7=Nutrients!$B$77,Nutrients!$E$77,Nutrients!$E$78)))))*AH$7))/2000/2.2046</f>
        <v>1519.3333382975795</v>
      </c>
      <c r="AI249" s="56">
        <f>(SUMPRODUCT(AI$8:AI$217,Nutrients!$E$8:$E$217)+(IF($A$6=Nutrients!$B$8,Nutrients!$E$8,Nutrients!$E$9)*AI$6)+(((IF($A$7=Nutrients!$B$79,Nutrients!$E$79,(IF($A$7=Nutrients!$B$77,Nutrients!$E$77,Nutrients!$E$78)))))*AI$7))/2000/2.2046</f>
        <v>1521.6758868258869</v>
      </c>
      <c r="AJ249" s="56">
        <f>(SUMPRODUCT(AJ$8:AJ$217,Nutrients!$E$8:$E$217)+(IF($A$6=Nutrients!$B$8,Nutrients!$E$8,Nutrients!$E$9)*AJ$6)+(((IF($A$7=Nutrients!$B$79,Nutrients!$E$79,(IF($A$7=Nutrients!$B$77,Nutrients!$E$77,Nutrients!$E$78)))))*AJ$7))/2000/2.2046</f>
        <v>1523.8313964897181</v>
      </c>
      <c r="AK249" s="19"/>
      <c r="AL249" s="19"/>
    </row>
    <row r="250" spans="1:38" ht="13" hidden="1" customHeight="1" x14ac:dyDescent="0.15">
      <c r="A250" s="8" t="s">
        <v>32</v>
      </c>
      <c r="B250" s="56">
        <f>(SUMPRODUCT(B$8:B$217,Nutrients!$DY$8:$DY$217)+(IF($A$6=Nutrients!$B$8,Nutrients!$DY$8,Nutrients!$DY$9)*B$6)+(((IF($A$7=Nutrients!$B$79,Nutrients!$DY$79,(IF($A$7=Nutrients!$B$77,Nutrients!$DY$77,Nutrients!$DY$78)))))*B$7))/2000/2.2046</f>
        <v>1137.0232766755698</v>
      </c>
      <c r="C250" s="56">
        <f>(SUMPRODUCT(C$8:C$217,Nutrients!$DY$8:$DY$217)+(IF($A$6=Nutrients!$B$8,Nutrients!$DY$8,Nutrients!$DY$9)*C$6)+(((IF($A$7=Nutrients!$B$79,Nutrients!$DY$79,(IF($A$7=Nutrients!$B$77,Nutrients!$DY$77,Nutrients!$DY$78)))))*C$7))/2000/2.2046</f>
        <v>1136.1040996033878</v>
      </c>
      <c r="D250" s="56">
        <f>(SUMPRODUCT(D$8:D$217,Nutrients!$DY$8:$DY$217)+(IF($A$6=Nutrients!$B$8,Nutrients!$DY$8,Nutrients!$DY$9)*D$6)+(((IF($A$7=Nutrients!$B$79,Nutrients!$DY$79,(IF($A$7=Nutrients!$B$77,Nutrients!$DY$77,Nutrients!$DY$78)))))*D$7))/2000/2.2046</f>
        <v>1134.8221842660078</v>
      </c>
      <c r="E250" s="56">
        <f>(SUMPRODUCT(E$8:E$217,Nutrients!$DY$8:$DY$217)+(IF($A$6=Nutrients!$B$8,Nutrients!$DY$8,Nutrients!$DY$9)*E$6)+(((IF($A$7=Nutrients!$B$79,Nutrients!$DY$79,(IF($A$7=Nutrients!$B$77,Nutrients!$DY$77,Nutrients!$DY$78)))))*E$7))/2000/2.2046</f>
        <v>1133.8553595260682</v>
      </c>
      <c r="F250" s="56">
        <f>(SUMPRODUCT(F$8:F$217,Nutrients!$DY$8:$DY$217)+(IF($A$6=Nutrients!$B$8,Nutrients!$DY$8,Nutrients!$DY$9)*F$6)+(((IF($A$7=Nutrients!$B$79,Nutrients!$DY$79,(IF($A$7=Nutrients!$B$77,Nutrients!$DY$77,Nutrients!$DY$78)))))*F$7))/2000/2.2046</f>
        <v>1132.5839180317621</v>
      </c>
      <c r="G250" s="56">
        <f>(SUMPRODUCT(G$8:G$217,Nutrients!$DY$8:$DY$217)+(IF($A$6=Nutrients!$B$8,Nutrients!$DY$8,Nutrients!$DY$9)*G$6)+(((IF($A$7=Nutrients!$B$79,Nutrients!$DY$79,(IF($A$7=Nutrients!$B$77,Nutrients!$DY$77,Nutrients!$DY$78)))))*G$7))/2000/2.2046</f>
        <v>1130.615247837125</v>
      </c>
      <c r="H250" s="436"/>
      <c r="I250" s="56">
        <f>(SUMPRODUCT(I$8:I$217,Nutrients!$DY$8:$DY$217)+(IF($A$6=Nutrients!$B$8,Nutrients!$DY$8,Nutrients!$DY$9)*I$6)+(((IF($A$7=Nutrients!$B$79,Nutrients!$DY$79,(IF($A$7=Nutrients!$B$77,Nutrients!$DY$77,Nutrients!$DY$78)))))*I$7))/2000/2.2046</f>
        <v>1155.2583387840655</v>
      </c>
      <c r="J250" s="56">
        <f>(SUMPRODUCT(J$8:J$217,Nutrients!$DY$8:$DY$217)+(IF($A$6=Nutrients!$B$8,Nutrients!$DY$8,Nutrients!$DY$9)*J$6)+(((IF($A$7=Nutrients!$B$79,Nutrients!$DY$79,(IF($A$7=Nutrients!$B$77,Nutrients!$DY$77,Nutrients!$DY$78)))))*J$7))/2000/2.2046</f>
        <v>1144.4835867003767</v>
      </c>
      <c r="K250" s="56">
        <f>(SUMPRODUCT(K$8:K$217,Nutrients!$DY$8:$DY$217)+(IF($A$6=Nutrients!$B$8,Nutrients!$DY$8,Nutrients!$DY$9)*K$6)+(((IF($A$7=Nutrients!$B$79,Nutrients!$DY$79,(IF($A$7=Nutrients!$B$77,Nutrients!$DY$77,Nutrients!$DY$78)))))*K$7))/2000/2.2046</f>
        <v>1134.5867915279855</v>
      </c>
      <c r="L250" s="56">
        <f>(SUMPRODUCT(L$8:L$217,Nutrients!$DY$8:$DY$217)+(IF($A$6=Nutrients!$B$8,Nutrients!$DY$8,Nutrients!$DY$9)*L$6)+(((IF($A$7=Nutrients!$B$79,Nutrients!$DY$79,(IF($A$7=Nutrients!$B$77,Nutrients!$DY$77,Nutrients!$DY$78)))))*L$7))/2000/2.2046</f>
        <v>1124.1378479790478</v>
      </c>
      <c r="M250" s="56">
        <f>(SUMPRODUCT(M$8:M$217,Nutrients!$DY$8:$DY$217)+(IF($A$6=Nutrients!$B$8,Nutrients!$DY$8,Nutrients!$DY$9)*M$6)+(((IF($A$7=Nutrients!$B$79,Nutrients!$DY$79,(IF($A$7=Nutrients!$B$77,Nutrients!$DY$77,Nutrients!$DY$78)))))*M$7))/2000/2.2046</f>
        <v>1114.2410528066564</v>
      </c>
      <c r="N250" s="56">
        <f>(SUMPRODUCT(N$8:N$217,Nutrients!$DY$8:$DY$217)+(IF($A$6=Nutrients!$B$8,Nutrients!$DY$8,Nutrients!$DY$9)*N$6)+(((IF($A$7=Nutrients!$B$79,Nutrients!$DY$79,(IF($A$7=Nutrients!$B$77,Nutrients!$DY$77,Nutrients!$DY$78)))))*N$7))/2000/2.2046</f>
        <v>1103.3438706378915</v>
      </c>
      <c r="O250" s="436"/>
      <c r="P250" s="56">
        <f>(SUMPRODUCT(P$8:P$217,Nutrients!$DY$8:$DY$217)+(IF($A$6=Nutrients!$B$8,Nutrients!$DY$8,Nutrients!$DY$9)*P$6)+(((IF($A$7=Nutrients!$B$79,Nutrients!$DY$79,(IF($A$7=Nutrients!$B$77,Nutrients!$DY$77,Nutrients!$DY$78)))))*P$7))/2000/2.2046</f>
        <v>1167.5678564929831</v>
      </c>
      <c r="Q250" s="56">
        <f>(SUMPRODUCT(Q$8:Q$217,Nutrients!$DY$8:$DY$217)+(IF($A$6=Nutrients!$B$8,Nutrients!$DY$8,Nutrients!$DY$9)*Q$6)+(((IF($A$7=Nutrients!$B$79,Nutrients!$DY$79,(IF($A$7=Nutrients!$B$77,Nutrients!$DY$77,Nutrients!$DY$78)))))*Q$7))/2000/2.2046</f>
        <v>1159.6621164702342</v>
      </c>
      <c r="R250" s="56">
        <f>(SUMPRODUCT(R$8:R$217,Nutrients!$DY$8:$DY$217)+(IF($A$6=Nutrients!$B$8,Nutrients!$DY$8,Nutrients!$DY$9)*R$6)+(((IF($A$7=Nutrients!$B$79,Nutrients!$DY$79,(IF($A$7=Nutrients!$B$77,Nutrients!$DY$77,Nutrients!$DY$78)))))*R$7))/2000/2.2046</f>
        <v>1152.2685151546036</v>
      </c>
      <c r="S250" s="56">
        <f>(SUMPRODUCT(S$8:S$217,Nutrients!$DY$8:$DY$217)+(IF($A$6=Nutrients!$B$8,Nutrients!$DY$8,Nutrients!$DY$9)*S$6)+(((IF($A$7=Nutrients!$B$79,Nutrients!$DY$79,(IF($A$7=Nutrients!$B$77,Nutrients!$DY$77,Nutrients!$DY$78)))))*S$7))/2000/2.2046</f>
        <v>1144.3627751318547</v>
      </c>
      <c r="T250" s="56">
        <f>(SUMPRODUCT(T$8:T$217,Nutrients!$DY$8:$DY$217)+(IF($A$6=Nutrients!$B$8,Nutrients!$DY$8,Nutrients!$DY$9)*T$6)+(((IF($A$7=Nutrients!$B$79,Nutrients!$DY$79,(IF($A$7=Nutrients!$B$77,Nutrients!$DY$77,Nutrients!$DY$78)))))*T$7))/2000/2.2046</f>
        <v>1136.4208039028915</v>
      </c>
      <c r="U250" s="56">
        <f>(SUMPRODUCT(U$8:U$217,Nutrients!$DY$8:$DY$217)+(IF($A$6=Nutrients!$B$8,Nutrients!$DY$8,Nutrients!$DY$9)*U$6)+(((IF($A$7=Nutrients!$B$79,Nutrients!$DY$79,(IF($A$7=Nutrients!$B$77,Nutrients!$DY$77,Nutrients!$DY$78)))))*U$7))/2000/2.2046</f>
        <v>1128.8297140880954</v>
      </c>
      <c r="V250" s="436"/>
      <c r="W250" s="56">
        <f>(SUMPRODUCT(W$8:W$217,Nutrients!$DY$8:$DY$217)+(IF($A$6=Nutrients!$B$8,Nutrients!$DY$8,Nutrients!$DY$9)*W$6)+(((IF($A$7=Nutrients!$B$79,Nutrients!$DY$79,(IF($A$7=Nutrients!$B$77,Nutrients!$DY$77,Nutrients!$DY$78)))))*W$7))/2000/2.2046</f>
        <v>1175.4628598741642</v>
      </c>
      <c r="X250" s="56">
        <f>(SUMPRODUCT(X$8:X$217,Nutrients!$DY$8:$DY$217)+(IF($A$6=Nutrients!$B$8,Nutrients!$DY$8,Nutrients!$DY$9)*X$6)+(((IF($A$7=Nutrients!$B$79,Nutrients!$DY$79,(IF($A$7=Nutrients!$B$77,Nutrients!$DY$77,Nutrients!$DY$78)))))*X$7))/2000/2.2046</f>
        <v>1167.5678564929831</v>
      </c>
      <c r="Y250" s="56">
        <f>(SUMPRODUCT(Y$8:Y$217,Nutrients!$DY$8:$DY$217)+(IF($A$6=Nutrients!$B$8,Nutrients!$DY$8,Nutrients!$DY$9)*Y$6)+(((IF($A$7=Nutrients!$B$79,Nutrients!$DY$79,(IF($A$7=Nutrients!$B$77,Nutrients!$DY$77,Nutrients!$DY$78)))))*Y$7))/2000/2.2046</f>
        <v>1159.6621164702342</v>
      </c>
      <c r="Z250" s="56">
        <f>(SUMPRODUCT(Z$8:Z$217,Nutrients!$DY$8:$DY$217)+(IF($A$6=Nutrients!$B$8,Nutrients!$DY$8,Nutrients!$DY$9)*Z$6)+(((IF($A$7=Nutrients!$B$79,Nutrients!$DY$79,(IF($A$7=Nutrients!$B$77,Nutrients!$DY$77,Nutrients!$DY$78)))))*Z$7))/2000/2.2046</f>
        <v>1152.2685151546036</v>
      </c>
      <c r="AA250" s="56">
        <f>(SUMPRODUCT(AA$8:AA$217,Nutrients!$DY$8:$DY$217)+(IF($A$6=Nutrients!$B$8,Nutrients!$DY$8,Nutrients!$DY$9)*AA$6)+(((IF($A$7=Nutrients!$B$79,Nutrients!$DY$79,(IF($A$7=Nutrients!$B$77,Nutrients!$DY$77,Nutrients!$DY$78)))))*AA$7))/2000/2.2046</f>
        <v>1144.3627751318547</v>
      </c>
      <c r="AB250" s="56">
        <f>(SUMPRODUCT(AB$8:AB$217,Nutrients!$DY$8:$DY$217)+(IF($A$6=Nutrients!$B$8,Nutrients!$DY$8,Nutrients!$DY$9)*AB$6)+(((IF($A$7=Nutrients!$B$79,Nutrients!$DY$79,(IF($A$7=Nutrients!$B$77,Nutrients!$DY$77,Nutrients!$DY$78)))))*AB$7))/2000/2.2046</f>
        <v>1136.4208039028915</v>
      </c>
      <c r="AC250" s="56">
        <f>(SUMPRODUCT(AC$8:AC$217,Nutrients!$DY$8:$DY$217)+(IF($A$6=Nutrients!$B$8,Nutrients!$DY$8,Nutrients!$DY$9)*AC$6)+(((IF($A$7=Nutrients!$B$79,Nutrients!$DY$79,(IF($A$7=Nutrients!$B$77,Nutrients!$DY$77,Nutrients!$DY$78)))))*AC$7))/2000/2.2046</f>
        <v>1128.8297140880954</v>
      </c>
      <c r="AD250" s="436"/>
      <c r="AE250" s="56">
        <f>(SUMPRODUCT(AE$8:AE$217,Nutrients!$DY$8:$DY$217)+(IF($A$6=Nutrients!$B$8,Nutrients!$DY$8,Nutrients!$DY$9)*AE$6)+(((IF($A$7=Nutrients!$B$79,Nutrients!$DY$79,(IF($A$7=Nutrients!$B$77,Nutrients!$DY$77,Nutrients!$DY$78)))))*AE$7))/2000/2.2046</f>
        <v>1155.4460143206879</v>
      </c>
      <c r="AF250" s="56">
        <f>(SUMPRODUCT(AF$8:AF$217,Nutrients!$DY$8:$DY$217)+(IF($A$6=Nutrients!$B$8,Nutrients!$DY$8,Nutrients!$DY$9)*AF$6)+(((IF($A$7=Nutrients!$B$79,Nutrients!$DY$79,(IF($A$7=Nutrients!$B$77,Nutrients!$DY$77,Nutrients!$DY$78)))))*AF$7))/2000/2.2046</f>
        <v>1155.1731509179708</v>
      </c>
      <c r="AG250" s="56">
        <f>(SUMPRODUCT(AG$8:AG$217,Nutrients!$DY$8:$DY$217)+(IF($A$6=Nutrients!$B$8,Nutrients!$DY$8,Nutrients!$DY$9)*AG$6)+(((IF($A$7=Nutrients!$B$79,Nutrients!$DY$79,(IF($A$7=Nutrients!$B$77,Nutrients!$DY$77,Nutrients!$DY$78)))))*AG$7))/2000/2.2046</f>
        <v>1154.9002875152535</v>
      </c>
      <c r="AH250" s="56">
        <f>(SUMPRODUCT(AH$8:AH$217,Nutrients!$DY$8:$DY$217)+(IF($A$6=Nutrients!$B$8,Nutrients!$DY$8,Nutrients!$DY$9)*AH$6)+(((IF($A$7=Nutrients!$B$79,Nutrients!$DY$79,(IF($A$7=Nutrients!$B$77,Nutrients!$DY$77,Nutrients!$DY$78)))))*AH$7))/2000/2.2046</f>
        <v>1154.6274241125366</v>
      </c>
      <c r="AI250" s="56">
        <f>(SUMPRODUCT(AI$8:AI$217,Nutrients!$DY$8:$DY$217)+(IF($A$6=Nutrients!$B$8,Nutrients!$DY$8,Nutrients!$DY$9)*AI$6)+(((IF($A$7=Nutrients!$B$79,Nutrients!$DY$79,(IF($A$7=Nutrients!$B$77,Nutrients!$DY$77,Nutrients!$DY$78)))))*AI$7))/2000/2.2046</f>
        <v>1154.354560709819</v>
      </c>
      <c r="AJ250" s="56">
        <f>(SUMPRODUCT(AJ$8:AJ$217,Nutrients!$DY$8:$DY$217)+(IF($A$6=Nutrients!$B$8,Nutrients!$DY$8,Nutrients!$DY$9)*AJ$6)+(((IF($A$7=Nutrients!$B$79,Nutrients!$DY$79,(IF($A$7=Nutrients!$B$77,Nutrients!$DY$77,Nutrients!$DY$78)))))*AJ$7))/2000/2.2046</f>
        <v>1152.8779818426517</v>
      </c>
      <c r="AK250" s="19"/>
      <c r="AL250" s="19"/>
    </row>
    <row r="251" spans="1:38" ht="13" hidden="1" customHeight="1" x14ac:dyDescent="0.15">
      <c r="A251" s="8" t="s">
        <v>31</v>
      </c>
      <c r="B251" s="56">
        <f>(SUMPRODUCT(B$8:B$217,Nutrients!$DZ$8:$DZ$217)+(IF($A$6=Nutrients!$B$8,Nutrients!$DZ$8,Nutrients!$DZ$9)*B$6)+(((IF($A$7=Nutrients!$B$79,Nutrients!$DZ$79,(IF($A$7=Nutrients!$B$77,Nutrients!$DZ$77,Nutrients!$DZ$78)))))*B$7))/2000/2.2046</f>
        <v>1176.1412463541033</v>
      </c>
      <c r="C251" s="56">
        <f>(SUMPRODUCT(C$8:C$217,Nutrients!$DZ$8:$DZ$217)+(IF($A$6=Nutrients!$B$8,Nutrients!$DZ$8,Nutrients!$DZ$9)*C$6)+(((IF($A$7=Nutrients!$B$79,Nutrients!$DZ$79,(IF($A$7=Nutrients!$B$77,Nutrients!$DZ$77,Nutrients!$DZ$78)))))*C$7))/2000/2.2046</f>
        <v>1175.5522434708084</v>
      </c>
      <c r="D251" s="56">
        <f>(SUMPRODUCT(D$8:D$217,Nutrients!$DZ$8:$DZ$217)+(IF($A$6=Nutrients!$B$8,Nutrients!$DZ$8,Nutrients!$DZ$9)*D$6)+(((IF($A$7=Nutrients!$B$79,Nutrients!$DZ$79,(IF($A$7=Nutrients!$B$77,Nutrients!$DZ$77,Nutrients!$DZ$78)))))*D$7))/2000/2.2046</f>
        <v>1174.5882812399477</v>
      </c>
      <c r="E251" s="56">
        <f>(SUMPRODUCT(E$8:E$217,Nutrients!$DZ$8:$DZ$217)+(IF($A$6=Nutrients!$B$8,Nutrients!$DZ$8,Nutrients!$DZ$9)*E$6)+(((IF($A$7=Nutrients!$B$79,Nutrients!$DZ$79,(IF($A$7=Nutrients!$B$77,Nutrients!$DZ$77,Nutrients!$DZ$78)))))*E$7))/2000/2.2046</f>
        <v>1173.9463930821664</v>
      </c>
      <c r="F251" s="56">
        <f>(SUMPRODUCT(F$8:F$217,Nutrients!$DZ$8:$DZ$217)+(IF($A$6=Nutrients!$B$8,Nutrients!$DZ$8,Nutrients!$DZ$9)*F$6)+(((IF($A$7=Nutrients!$B$79,Nutrients!$DZ$79,(IF($A$7=Nutrients!$B$77,Nutrients!$DZ$77,Nutrients!$DZ$78)))))*F$7))/2000/2.2046</f>
        <v>1172.9894129565607</v>
      </c>
      <c r="G251" s="56">
        <f>(SUMPRODUCT(G$8:G$217,Nutrients!$DZ$8:$DZ$217)+(IF($A$6=Nutrients!$B$8,Nutrients!$DZ$8,Nutrients!$DZ$9)*G$6)+(((IF($A$7=Nutrients!$B$79,Nutrients!$DZ$79,(IF($A$7=Nutrients!$B$77,Nutrients!$DZ$77,Nutrients!$DZ$78)))))*G$7))/2000/2.2046</f>
        <v>1171.364883902088</v>
      </c>
      <c r="H251" s="436"/>
      <c r="I251" s="56">
        <f>(SUMPRODUCT(I$8:I$217,Nutrients!$DZ$8:$DZ$217)+(IF($A$6=Nutrients!$B$8,Nutrients!$DZ$8,Nutrients!$DZ$9)*I$6)+(((IF($A$7=Nutrients!$B$79,Nutrients!$DZ$79,(IF($A$7=Nutrients!$B$77,Nutrients!$DZ$77,Nutrients!$DZ$78)))))*I$7))/2000/2.2046</f>
        <v>1192.8326868623258</v>
      </c>
      <c r="J251" s="56">
        <f>(SUMPRODUCT(J$8:J$217,Nutrients!$DZ$8:$DZ$217)+(IF($A$6=Nutrients!$B$8,Nutrients!$DZ$8,Nutrients!$DZ$9)*J$6)+(((IF($A$7=Nutrients!$B$79,Nutrients!$DZ$79,(IF($A$7=Nutrients!$B$77,Nutrients!$DZ$77,Nutrients!$DZ$78)))))*J$7))/2000/2.2046</f>
        <v>1182.6466333304397</v>
      </c>
      <c r="K251" s="56">
        <f>(SUMPRODUCT(K$8:K$217,Nutrients!$DZ$8:$DZ$217)+(IF($A$6=Nutrients!$B$8,Nutrients!$DZ$8,Nutrients!$DZ$9)*K$6)+(((IF($A$7=Nutrients!$B$79,Nutrients!$DZ$79,(IF($A$7=Nutrients!$B$77,Nutrients!$DZ$77,Nutrients!$DZ$78)))))*K$7))/2000/2.2046</f>
        <v>1173.3175862829357</v>
      </c>
      <c r="L251" s="56">
        <f>(SUMPRODUCT(L$8:L$217,Nutrients!$DZ$8:$DZ$217)+(IF($A$6=Nutrients!$B$8,Nutrients!$DZ$8,Nutrients!$DZ$9)*L$6)+(((IF($A$7=Nutrients!$B$79,Nutrients!$DZ$79,(IF($A$7=Nutrients!$B$77,Nutrients!$DZ$77,Nutrients!$DZ$78)))))*L$7))/2000/2.2046</f>
        <v>1163.4264099465533</v>
      </c>
      <c r="M251" s="56">
        <f>(SUMPRODUCT(M$8:M$217,Nutrients!$DZ$8:$DZ$217)+(IF($A$6=Nutrients!$B$8,Nutrients!$DZ$8,Nutrients!$DZ$9)*M$6)+(((IF($A$7=Nutrients!$B$79,Nutrients!$DZ$79,(IF($A$7=Nutrients!$B$77,Nutrients!$DZ$77,Nutrients!$DZ$78)))))*M$7))/2000/2.2046</f>
        <v>1154.0973628990491</v>
      </c>
      <c r="N251" s="56">
        <f>(SUMPRODUCT(N$8:N$217,Nutrients!$DZ$8:$DZ$217)+(IF($A$6=Nutrients!$B$8,Nutrients!$DZ$8,Nutrients!$DZ$9)*N$6)+(((IF($A$7=Nutrients!$B$79,Nutrients!$DZ$79,(IF($A$7=Nutrients!$B$77,Nutrients!$DZ$77,Nutrients!$DZ$78)))))*N$7))/2000/2.2046</f>
        <v>1143.7853875442679</v>
      </c>
      <c r="O251" s="436"/>
      <c r="P251" s="56">
        <f>(SUMPRODUCT(P$8:P$217,Nutrients!$DZ$8:$DZ$217)+(IF($A$6=Nutrients!$B$8,Nutrients!$DZ$8,Nutrients!$DZ$9)*P$6)+(((IF($A$7=Nutrients!$B$79,Nutrients!$DZ$79,(IF($A$7=Nutrients!$B$77,Nutrients!$DZ$77,Nutrients!$DZ$78)))))*P$7))/2000/2.2046</f>
        <v>1204.8900271592283</v>
      </c>
      <c r="Q251" s="56">
        <f>(SUMPRODUCT(Q$8:Q$217,Nutrients!$DZ$8:$DZ$217)+(IF($A$6=Nutrients!$B$8,Nutrients!$DZ$8,Nutrients!$DZ$9)*Q$6)+(((IF($A$7=Nutrients!$B$79,Nutrients!$DZ$79,(IF($A$7=Nutrients!$B$77,Nutrients!$DZ$77,Nutrients!$DZ$78)))))*Q$7))/2000/2.2046</f>
        <v>1197.4101618307664</v>
      </c>
      <c r="R251" s="56">
        <f>(SUMPRODUCT(R$8:R$217,Nutrients!$DZ$8:$DZ$217)+(IF($A$6=Nutrients!$B$8,Nutrients!$DZ$8,Nutrients!$DZ$9)*R$6)+(((IF($A$7=Nutrients!$B$79,Nutrients!$DZ$79,(IF($A$7=Nutrients!$B$77,Nutrients!$DZ$77,Nutrients!$DZ$78)))))*R$7))/2000/2.2046</f>
        <v>1190.454161990664</v>
      </c>
      <c r="S251" s="56">
        <f>(SUMPRODUCT(S$8:S$217,Nutrients!$DZ$8:$DZ$217)+(IF($A$6=Nutrients!$B$8,Nutrients!$DZ$8,Nutrients!$DZ$9)*S$6)+(((IF($A$7=Nutrients!$B$79,Nutrients!$DZ$79,(IF($A$7=Nutrients!$B$77,Nutrients!$DZ$77,Nutrients!$DZ$78)))))*S$7))/2000/2.2046</f>
        <v>1182.9742966622021</v>
      </c>
      <c r="T251" s="56">
        <f>(SUMPRODUCT(T$8:T$217,Nutrients!$DZ$8:$DZ$217)+(IF($A$6=Nutrients!$B$8,Nutrients!$DZ$8,Nutrients!$DZ$9)*T$6)+(((IF($A$7=Nutrients!$B$79,Nutrients!$DZ$79,(IF($A$7=Nutrients!$B$77,Nutrients!$DZ$77,Nutrients!$DZ$78)))))*T$7))/2000/2.2046</f>
        <v>1175.4599459964352</v>
      </c>
      <c r="U251" s="56">
        <f>(SUMPRODUCT(U$8:U$217,Nutrients!$DZ$8:$DZ$217)+(IF($A$6=Nutrients!$B$8,Nutrients!$DZ$8,Nutrients!$DZ$9)*U$6)+(((IF($A$7=Nutrients!$B$79,Nutrients!$DZ$79,(IF($A$7=Nutrients!$B$77,Nutrients!$DZ$77,Nutrients!$DZ$78)))))*U$7))/2000/2.2046</f>
        <v>1168.3464675147454</v>
      </c>
      <c r="V251" s="436"/>
      <c r="W251" s="56">
        <f>(SUMPRODUCT(W$8:W$217,Nutrients!$DZ$8:$DZ$217)+(IF($A$6=Nutrients!$B$8,Nutrients!$DZ$8,Nutrients!$DZ$9)*W$6)+(((IF($A$7=Nutrients!$B$79,Nutrients!$DZ$79,(IF($A$7=Nutrients!$B$77,Nutrients!$DZ$77,Nutrients!$DZ$78)))))*W$7))/2000/2.2046</f>
        <v>1212.3591558461223</v>
      </c>
      <c r="X251" s="56">
        <f>(SUMPRODUCT(X$8:X$217,Nutrients!$DZ$8:$DZ$217)+(IF($A$6=Nutrients!$B$8,Nutrients!$DZ$8,Nutrients!$DZ$9)*X$6)+(((IF($A$7=Nutrients!$B$79,Nutrients!$DZ$79,(IF($A$7=Nutrients!$B$77,Nutrients!$DZ$77,Nutrients!$DZ$78)))))*X$7))/2000/2.2046</f>
        <v>1204.8900271592283</v>
      </c>
      <c r="Y251" s="56">
        <f>(SUMPRODUCT(Y$8:Y$217,Nutrients!$DZ$8:$DZ$217)+(IF($A$6=Nutrients!$B$8,Nutrients!$DZ$8,Nutrients!$DZ$9)*Y$6)+(((IF($A$7=Nutrients!$B$79,Nutrients!$DZ$79,(IF($A$7=Nutrients!$B$77,Nutrients!$DZ$77,Nutrients!$DZ$78)))))*Y$7))/2000/2.2046</f>
        <v>1197.4101618307664</v>
      </c>
      <c r="Z251" s="56">
        <f>(SUMPRODUCT(Z$8:Z$217,Nutrients!$DZ$8:$DZ$217)+(IF($A$6=Nutrients!$B$8,Nutrients!$DZ$8,Nutrients!$DZ$9)*Z$6)+(((IF($A$7=Nutrients!$B$79,Nutrients!$DZ$79,(IF($A$7=Nutrients!$B$77,Nutrients!$DZ$77,Nutrients!$DZ$78)))))*Z$7))/2000/2.2046</f>
        <v>1190.454161990664</v>
      </c>
      <c r="AA251" s="56">
        <f>(SUMPRODUCT(AA$8:AA$217,Nutrients!$DZ$8:$DZ$217)+(IF($A$6=Nutrients!$B$8,Nutrients!$DZ$8,Nutrients!$DZ$9)*AA$6)+(((IF($A$7=Nutrients!$B$79,Nutrients!$DZ$79,(IF($A$7=Nutrients!$B$77,Nutrients!$DZ$77,Nutrients!$DZ$78)))))*AA$7))/2000/2.2046</f>
        <v>1182.9742966622021</v>
      </c>
      <c r="AB251" s="56">
        <f>(SUMPRODUCT(AB$8:AB$217,Nutrients!$DZ$8:$DZ$217)+(IF($A$6=Nutrients!$B$8,Nutrients!$DZ$8,Nutrients!$DZ$9)*AB$6)+(((IF($A$7=Nutrients!$B$79,Nutrients!$DZ$79,(IF($A$7=Nutrients!$B$77,Nutrients!$DZ$77,Nutrients!$DZ$78)))))*AB$7))/2000/2.2046</f>
        <v>1175.4599459964352</v>
      </c>
      <c r="AC251" s="56">
        <f>(SUMPRODUCT(AC$8:AC$217,Nutrients!$DZ$8:$DZ$217)+(IF($A$6=Nutrients!$B$8,Nutrients!$DZ$8,Nutrients!$DZ$9)*AC$6)+(((IF($A$7=Nutrients!$B$79,Nutrients!$DZ$79,(IF($A$7=Nutrients!$B$77,Nutrients!$DZ$77,Nutrients!$DZ$78)))))*AC$7))/2000/2.2046</f>
        <v>1168.3464675147454</v>
      </c>
      <c r="AD251" s="436"/>
      <c r="AE251" s="56">
        <f>(SUMPRODUCT(AE$8:AE$217,Nutrients!$DZ$8:$DZ$217)+(IF($A$6=Nutrients!$B$8,Nutrients!$DZ$8,Nutrients!$DZ$9)*AE$6)+(((IF($A$7=Nutrients!$B$79,Nutrients!$DZ$79,(IF($A$7=Nutrients!$B$77,Nutrients!$DZ$77,Nutrients!$DZ$78)))))*AE$7))/2000/2.2046</f>
        <v>1192.6931330536479</v>
      </c>
      <c r="AF251" s="56">
        <f>(SUMPRODUCT(AF$8:AF$217,Nutrients!$DZ$8:$DZ$217)+(IF($A$6=Nutrients!$B$8,Nutrients!$DZ$8,Nutrients!$DZ$9)*AF$6)+(((IF($A$7=Nutrients!$B$79,Nutrients!$DZ$79,(IF($A$7=Nutrients!$B$77,Nutrients!$DZ$77,Nutrients!$DZ$78)))))*AF$7))/2000/2.2046</f>
        <v>1192.5225737467761</v>
      </c>
      <c r="AG251" s="56">
        <f>(SUMPRODUCT(AG$8:AG$217,Nutrients!$DZ$8:$DZ$217)+(IF($A$6=Nutrients!$B$8,Nutrients!$DZ$8,Nutrients!$DZ$9)*AG$6)+(((IF($A$7=Nutrients!$B$79,Nutrients!$DZ$79,(IF($A$7=Nutrients!$B$77,Nutrients!$DZ$77,Nutrients!$DZ$78)))))*AG$7))/2000/2.2046</f>
        <v>1192.352014439904</v>
      </c>
      <c r="AH251" s="56">
        <f>(SUMPRODUCT(AH$8:AH$217,Nutrients!$DZ$8:$DZ$217)+(IF($A$6=Nutrients!$B$8,Nutrients!$DZ$8,Nutrients!$DZ$9)*AH$6)+(((IF($A$7=Nutrients!$B$79,Nutrients!$DZ$79,(IF($A$7=Nutrients!$B$77,Nutrients!$DZ$77,Nutrients!$DZ$78)))))*AH$7))/2000/2.2046</f>
        <v>1192.1814551330322</v>
      </c>
      <c r="AI251" s="56">
        <f>(SUMPRODUCT(AI$8:AI$217,Nutrients!$DZ$8:$DZ$217)+(IF($A$6=Nutrients!$B$8,Nutrients!$DZ$8,Nutrients!$DZ$9)*AI$6)+(((IF($A$7=Nutrients!$B$79,Nutrients!$DZ$79,(IF($A$7=Nutrients!$B$77,Nutrients!$DZ$77,Nutrients!$DZ$78)))))*AI$7))/2000/2.2046</f>
        <v>1192.0108958261601</v>
      </c>
      <c r="AJ251" s="56">
        <f>(SUMPRODUCT(AJ$8:AJ$217,Nutrients!$DZ$8:$DZ$217)+(IF($A$6=Nutrients!$B$8,Nutrients!$DZ$8,Nutrients!$DZ$9)*AJ$6)+(((IF($A$7=Nutrients!$B$79,Nutrients!$DZ$79,(IF($A$7=Nutrients!$B$77,Nutrients!$DZ$77,Nutrients!$DZ$78)))))*AJ$7))/2000/2.2046</f>
        <v>1190.7106958526504</v>
      </c>
      <c r="AK251" s="19"/>
      <c r="AL251" s="19"/>
    </row>
    <row r="252" spans="1:38" ht="13" hidden="1" customHeight="1" x14ac:dyDescent="0.15">
      <c r="A252" s="8" t="s">
        <v>56</v>
      </c>
      <c r="B252" s="56">
        <f>(SUMPRODUCT(B$8:B$217,Nutrients!$D$8:$D$217)+(IF($A$6=Nutrients!$B$8,Nutrients!$D$8,Nutrients!$D$9)*B$6)+(((IF($A$7=Nutrients!$B$79,Nutrients!$D$79,(IF($A$7=Nutrients!$B$77,Nutrients!$D$77,Nutrients!$D$78)))))*B$7))/2000/2.2046</f>
        <v>1590.3691594864545</v>
      </c>
      <c r="C252" s="56">
        <f>(SUMPRODUCT(C$8:C$217,Nutrients!$D$8:$D$217)+(IF($A$6=Nutrients!$B$8,Nutrients!$D$8,Nutrients!$D$9)*C$6)+(((IF($A$7=Nutrients!$B$79,Nutrients!$D$79,(IF($A$7=Nutrients!$B$77,Nutrients!$D$77,Nutrients!$D$78)))))*C$7))/2000/2.2046</f>
        <v>1599.7954674201594</v>
      </c>
      <c r="D252" s="56">
        <f>(SUMPRODUCT(D$8:D$217,Nutrients!$D$8:$D$217)+(IF($A$6=Nutrients!$B$8,Nutrients!$D$8,Nutrients!$D$9)*D$6)+(((IF($A$7=Nutrients!$B$79,Nutrients!$D$79,(IF($A$7=Nutrients!$B$77,Nutrients!$D$77,Nutrients!$D$78)))))*D$7))/2000/2.2046</f>
        <v>1608.7672670927798</v>
      </c>
      <c r="E252" s="56">
        <f>(SUMPRODUCT(E$8:E$217,Nutrients!$D$8:$D$217)+(IF($A$6=Nutrients!$B$8,Nutrients!$D$8,Nutrients!$D$9)*E$6)+(((IF($A$7=Nutrients!$B$79,Nutrients!$D$79,(IF($A$7=Nutrients!$B$77,Nutrients!$D$77,Nutrients!$D$78)))))*E$7))/2000/2.2046</f>
        <v>1618.1515054098936</v>
      </c>
      <c r="F252" s="56">
        <f>(SUMPRODUCT(F$8:F$217,Nutrients!$D$8:$D$217)+(IF($A$6=Nutrients!$B$8,Nutrients!$D$8,Nutrients!$D$9)*F$6)+(((IF($A$7=Nutrients!$B$79,Nutrients!$D$79,(IF($A$7=Nutrients!$B$77,Nutrients!$D$77,Nutrients!$D$78)))))*F$7))/2000/2.2046</f>
        <v>1627.1537726876013</v>
      </c>
      <c r="G252" s="56">
        <f>(SUMPRODUCT(G$8:G$217,Nutrients!$D$8:$D$217)+(IF($A$6=Nutrients!$B$8,Nutrients!$D$8,Nutrients!$D$9)*G$6)+(((IF($A$7=Nutrients!$B$79,Nutrients!$D$79,(IF($A$7=Nutrients!$B$77,Nutrients!$D$77,Nutrients!$D$78)))))*G$7))/2000/2.2046</f>
        <v>1635.4297243078247</v>
      </c>
      <c r="H252" s="436"/>
      <c r="I252" s="56">
        <f>(SUMPRODUCT(I$8:I$217,Nutrients!$D$8:$D$217)+(IF($A$6=Nutrients!$B$8,Nutrients!$D$8,Nutrients!$D$9)*I$6)+(((IF($A$7=Nutrients!$B$79,Nutrients!$D$79,(IF($A$7=Nutrients!$B$77,Nutrients!$D$77,Nutrients!$D$78)))))*I$7))/2000/2.2046</f>
        <v>1574.3310408455027</v>
      </c>
      <c r="J252" s="56">
        <f>(SUMPRODUCT(J$8:J$217,Nutrients!$D$8:$D$217)+(IF($A$6=Nutrients!$B$8,Nutrients!$D$8,Nutrients!$D$9)*J$6)+(((IF($A$7=Nutrients!$B$79,Nutrients!$D$79,(IF($A$7=Nutrients!$B$77,Nutrients!$D$77,Nutrients!$D$78)))))*J$7))/2000/2.2046</f>
        <v>1574.522966035868</v>
      </c>
      <c r="K252" s="56">
        <f>(SUMPRODUCT(K$8:K$217,Nutrients!$D$8:$D$217)+(IF($A$6=Nutrients!$B$8,Nutrients!$D$8,Nutrients!$D$9)*K$6)+(((IF($A$7=Nutrients!$B$79,Nutrients!$D$79,(IF($A$7=Nutrients!$B$77,Nutrients!$D$77,Nutrients!$D$78)))))*K$7))/2000/2.2046</f>
        <v>1575.6592862607301</v>
      </c>
      <c r="L252" s="56">
        <f>(SUMPRODUCT(L$8:L$217,Nutrients!$D$8:$D$217)+(IF($A$6=Nutrients!$B$8,Nutrients!$D$8,Nutrients!$D$9)*L$6)+(((IF($A$7=Nutrients!$B$79,Nutrients!$D$79,(IF($A$7=Nutrients!$B$77,Nutrients!$D$77,Nutrients!$D$78)))))*L$7))/2000/2.2046</f>
        <v>1575.530607637196</v>
      </c>
      <c r="M252" s="56">
        <f>(SUMPRODUCT(M$8:M$217,Nutrients!$D$8:$D$217)+(IF($A$6=Nutrients!$B$8,Nutrients!$D$8,Nutrients!$D$9)*M$6)+(((IF($A$7=Nutrients!$B$79,Nutrients!$D$79,(IF($A$7=Nutrients!$B$77,Nutrients!$D$77,Nutrients!$D$78)))))*M$7))/2000/2.2046</f>
        <v>1576.6669278620579</v>
      </c>
      <c r="N252" s="56">
        <f>(SUMPRODUCT(N$8:N$217,Nutrients!$D$8:$D$217)+(IF($A$6=Nutrients!$B$8,Nutrients!$D$8,Nutrients!$D$9)*N$6)+(((IF($A$7=Nutrients!$B$79,Nutrients!$D$79,(IF($A$7=Nutrients!$B$77,Nutrients!$D$77,Nutrients!$D$78)))))*N$7))/2000/2.2046</f>
        <v>1576.7028922804807</v>
      </c>
      <c r="O252" s="436"/>
      <c r="P252" s="56">
        <f>(SUMPRODUCT(P$8:P$217,Nutrients!$D$8:$D$217)+(IF($A$6=Nutrients!$B$8,Nutrients!$D$8,Nutrients!$D$9)*P$6)+(((IF($A$7=Nutrients!$B$79,Nutrients!$D$79,(IF($A$7=Nutrients!$B$77,Nutrients!$D$77,Nutrients!$D$78)))))*P$7))/2000/2.2046</f>
        <v>1575.2688475430364</v>
      </c>
      <c r="Q252" s="56">
        <f>(SUMPRODUCT(Q$8:Q$217,Nutrients!$D$8:$D$217)+(IF($A$6=Nutrients!$B$8,Nutrients!$D$8,Nutrients!$D$9)*Q$6)+(((IF($A$7=Nutrients!$B$79,Nutrients!$D$79,(IF($A$7=Nutrients!$B$77,Nutrients!$D$77,Nutrients!$D$78)))))*Q$7))/2000/2.2046</f>
        <v>1575.6695279722769</v>
      </c>
      <c r="R252" s="56">
        <f>(SUMPRODUCT(R$8:R$217,Nutrients!$D$8:$D$217)+(IF($A$6=Nutrients!$B$8,Nutrients!$D$8,Nutrients!$D$9)*R$6)+(((IF($A$7=Nutrients!$B$79,Nutrients!$D$79,(IF($A$7=Nutrients!$B$77,Nutrients!$D$77,Nutrients!$D$78)))))*R$7))/2000/2.2046</f>
        <v>1577.2706447709661</v>
      </c>
      <c r="S252" s="56">
        <f>(SUMPRODUCT(S$8:S$217,Nutrients!$D$8:$D$217)+(IF($A$6=Nutrients!$B$8,Nutrients!$D$8,Nutrients!$D$9)*S$6)+(((IF($A$7=Nutrients!$B$79,Nutrients!$D$79,(IF($A$7=Nutrients!$B$77,Nutrients!$D$77,Nutrients!$D$78)))))*S$7))/2000/2.2046</f>
        <v>1577.6713252002066</v>
      </c>
      <c r="T252" s="56">
        <f>(SUMPRODUCT(T$8:T$217,Nutrients!$D$8:$D$217)+(IF($A$6=Nutrients!$B$8,Nutrients!$D$8,Nutrients!$D$9)*T$6)+(((IF($A$7=Nutrients!$B$79,Nutrients!$D$79,(IF($A$7=Nutrients!$B$77,Nutrients!$D$77,Nutrients!$D$78)))))*T$7))/2000/2.2046</f>
        <v>1578.0147460625928</v>
      </c>
      <c r="U252" s="56">
        <f>(SUMPRODUCT(U$8:U$217,Nutrients!$D$8:$D$217)+(IF($A$6=Nutrients!$B$8,Nutrients!$D$8,Nutrients!$D$9)*U$6)+(((IF($A$7=Nutrients!$B$79,Nutrients!$D$79,(IF($A$7=Nutrients!$B$77,Nutrients!$D$77,Nutrients!$D$78)))))*U$7))/2000/2.2046</f>
        <v>1580.0745329485844</v>
      </c>
      <c r="V252" s="436"/>
      <c r="W252" s="56">
        <f>(SUMPRODUCT(W$8:W$217,Nutrients!$D$8:$D$217)+(IF($A$6=Nutrients!$B$8,Nutrients!$D$8,Nutrients!$D$9)*W$6)+(((IF($A$7=Nutrients!$B$79,Nutrients!$D$79,(IF($A$7=Nutrients!$B$77,Nutrients!$D$77,Nutrients!$D$78)))))*W$7))/2000/2.2046</f>
        <v>1574.8543324045513</v>
      </c>
      <c r="X252" s="56">
        <f>(SUMPRODUCT(X$8:X$217,Nutrients!$D$8:$D$217)+(IF($A$6=Nutrients!$B$8,Nutrients!$D$8,Nutrients!$D$9)*X$6)+(((IF($A$7=Nutrients!$B$79,Nutrients!$D$79,(IF($A$7=Nutrients!$B$77,Nutrients!$D$77,Nutrients!$D$78)))))*X$7))/2000/2.2046</f>
        <v>1575.2688475430364</v>
      </c>
      <c r="Y252" s="56">
        <f>(SUMPRODUCT(Y$8:Y$217,Nutrients!$D$8:$D$217)+(IF($A$6=Nutrients!$B$8,Nutrients!$D$8,Nutrients!$D$9)*Y$6)+(((IF($A$7=Nutrients!$B$79,Nutrients!$D$79,(IF($A$7=Nutrients!$B$77,Nutrients!$D$77,Nutrients!$D$78)))))*Y$7))/2000/2.2046</f>
        <v>1575.6695279722769</v>
      </c>
      <c r="Z252" s="56">
        <f>(SUMPRODUCT(Z$8:Z$217,Nutrients!$D$8:$D$217)+(IF($A$6=Nutrients!$B$8,Nutrients!$D$8,Nutrients!$D$9)*Z$6)+(((IF($A$7=Nutrients!$B$79,Nutrients!$D$79,(IF($A$7=Nutrients!$B$77,Nutrients!$D$77,Nutrients!$D$78)))))*Z$7))/2000/2.2046</f>
        <v>1577.2706447709661</v>
      </c>
      <c r="AA252" s="56">
        <f>(SUMPRODUCT(AA$8:AA$217,Nutrients!$D$8:$D$217)+(IF($A$6=Nutrients!$B$8,Nutrients!$D$8,Nutrients!$D$9)*AA$6)+(((IF($A$7=Nutrients!$B$79,Nutrients!$D$79,(IF($A$7=Nutrients!$B$77,Nutrients!$D$77,Nutrients!$D$78)))))*AA$7))/2000/2.2046</f>
        <v>1577.6713252002066</v>
      </c>
      <c r="AB252" s="56">
        <f>(SUMPRODUCT(AB$8:AB$217,Nutrients!$D$8:$D$217)+(IF($A$6=Nutrients!$B$8,Nutrients!$D$8,Nutrients!$D$9)*AB$6)+(((IF($A$7=Nutrients!$B$79,Nutrients!$D$79,(IF($A$7=Nutrients!$B$77,Nutrients!$D$77,Nutrients!$D$78)))))*AB$7))/2000/2.2046</f>
        <v>1578.0147460625928</v>
      </c>
      <c r="AC252" s="56">
        <f>(SUMPRODUCT(AC$8:AC$217,Nutrients!$D$8:$D$217)+(IF($A$6=Nutrients!$B$8,Nutrients!$D$8,Nutrients!$D$9)*AC$6)+(((IF($A$7=Nutrients!$B$79,Nutrients!$D$79,(IF($A$7=Nutrients!$B$77,Nutrients!$D$77,Nutrients!$D$78)))))*AC$7))/2000/2.2046</f>
        <v>1580.0745329485844</v>
      </c>
      <c r="AD252" s="436"/>
      <c r="AE252" s="56">
        <f>(SUMPRODUCT(AE$8:AE$217,Nutrients!$D$8:$D$217)+(IF($A$6=Nutrients!$B$8,Nutrients!$D$8,Nutrients!$D$9)*AE$6)+(((IF($A$7=Nutrients!$B$79,Nutrients!$D$79,(IF($A$7=Nutrients!$B$77,Nutrients!$D$77,Nutrients!$D$78)))))*AE$7))/2000/2.2046</f>
        <v>1549.8165161147017</v>
      </c>
      <c r="AF252" s="56">
        <f>(SUMPRODUCT(AF$8:AF$217,Nutrients!$D$8:$D$217)+(IF($A$6=Nutrients!$B$8,Nutrients!$D$8,Nutrients!$D$9)*AF$6)+(((IF($A$7=Nutrients!$B$79,Nutrients!$D$79,(IF($A$7=Nutrients!$B$77,Nutrients!$D$77,Nutrients!$D$78)))))*AF$7))/2000/2.2046</f>
        <v>1553.51176983907</v>
      </c>
      <c r="AG252" s="56">
        <f>(SUMPRODUCT(AG$8:AG$217,Nutrients!$D$8:$D$217)+(IF($A$6=Nutrients!$B$8,Nutrients!$D$8,Nutrients!$D$9)*AG$6)+(((IF($A$7=Nutrients!$B$79,Nutrients!$D$79,(IF($A$7=Nutrients!$B$77,Nutrients!$D$77,Nutrients!$D$78)))))*AG$7))/2000/2.2046</f>
        <v>1557.2070235634374</v>
      </c>
      <c r="AH252" s="56">
        <f>(SUMPRODUCT(AH$8:AH$217,Nutrients!$D$8:$D$217)+(IF($A$6=Nutrients!$B$8,Nutrients!$D$8,Nutrients!$D$9)*AH$6)+(((IF($A$7=Nutrients!$B$79,Nutrients!$D$79,(IF($A$7=Nutrients!$B$77,Nutrients!$D$77,Nutrients!$D$78)))))*AH$7))/2000/2.2046</f>
        <v>1560.9022772878054</v>
      </c>
      <c r="AI252" s="56">
        <f>(SUMPRODUCT(AI$8:AI$217,Nutrients!$D$8:$D$217)+(IF($A$6=Nutrients!$B$8,Nutrients!$D$8,Nutrients!$D$9)*AI$6)+(((IF($A$7=Nutrients!$B$79,Nutrients!$D$79,(IF($A$7=Nutrients!$B$77,Nutrients!$D$77,Nutrients!$D$78)))))*AI$7))/2000/2.2046</f>
        <v>1564.5975310121732</v>
      </c>
      <c r="AJ252" s="56">
        <f>(SUMPRODUCT(AJ$8:AJ$217,Nutrients!$D$8:$D$217)+(IF($A$6=Nutrients!$B$8,Nutrients!$D$8,Nutrients!$D$9)*AJ$6)+(((IF($A$7=Nutrients!$B$79,Nutrients!$D$79,(IF($A$7=Nutrients!$B$77,Nutrients!$D$77,Nutrients!$D$78)))))*AJ$7))/2000/2.2046</f>
        <v>1568.6038988873527</v>
      </c>
      <c r="AK252" s="19"/>
      <c r="AL252" s="19"/>
    </row>
    <row r="253" spans="1:38" x14ac:dyDescent="0.15">
      <c r="A253" s="8" t="s">
        <v>30</v>
      </c>
      <c r="B253" s="56">
        <f>(SUMPRODUCT(B$8:B$217,Nutrients!$F$8:$F$217)+(IF($A$6=Nutrients!$B$8,Nutrients!$F$8,Nutrients!$F$9)*B$6)+(((IF($A$7=Nutrients!$B$79,Nutrients!$F$79,(IF($A$7=Nutrients!$B$77,Nutrients!$F$77,Nutrients!$F$78)))))*B$7))/2000/2.2046</f>
        <v>1154.4009408432664</v>
      </c>
      <c r="C253" s="56">
        <f>(SUMPRODUCT(C$8:C$217,Nutrients!$F$8:$F$217)+(IF($A$6=Nutrients!$B$8,Nutrients!$F$8,Nutrients!$F$9)*C$6)+(((IF($A$7=Nutrients!$B$79,Nutrients!$F$79,(IF($A$7=Nutrients!$B$77,Nutrients!$F$77,Nutrients!$F$78)))))*C$7))/2000/2.2046</f>
        <v>1154.2316507244243</v>
      </c>
      <c r="D253" s="56">
        <f>(SUMPRODUCT(D$8:D$217,Nutrients!$F$8:$F$217)+(IF($A$6=Nutrients!$B$8,Nutrients!$F$8,Nutrients!$F$9)*D$6)+(((IF($A$7=Nutrients!$B$79,Nutrients!$F$79,(IF($A$7=Nutrients!$B$77,Nutrients!$F$77,Nutrients!$F$78)))))*D$7))/2000/2.2046</f>
        <v>1153.6983424156565</v>
      </c>
      <c r="E253" s="56">
        <f>(SUMPRODUCT(E$8:E$217,Nutrients!$F$8:$F$217)+(IF($A$6=Nutrients!$B$8,Nutrients!$F$8,Nutrients!$F$9)*E$6)+(((IF($A$7=Nutrients!$B$79,Nutrients!$F$79,(IF($A$7=Nutrients!$B$77,Nutrients!$F$77,Nutrients!$F$78)))))*E$7))/2000/2.2046</f>
        <v>1153.4824553433969</v>
      </c>
      <c r="F253" s="56">
        <f>(SUMPRODUCT(F$8:F$217,Nutrients!$F$8:$F$217)+(IF($A$6=Nutrients!$B$8,Nutrients!$F$8,Nutrients!$F$9)*F$6)+(((IF($A$7=Nutrients!$B$79,Nutrients!$F$79,(IF($A$7=Nutrients!$B$77,Nutrients!$F$77,Nutrients!$F$78)))))*F$7))/2000/2.2046</f>
        <v>1152.9592992486348</v>
      </c>
      <c r="G253" s="56">
        <f>(SUMPRODUCT(G$8:G$217,Nutrients!$F$8:$F$217)+(IF($A$6=Nutrients!$B$8,Nutrients!$F$8,Nutrients!$F$9)*G$6)+(((IF($A$7=Nutrients!$B$79,Nutrients!$F$79,(IF($A$7=Nutrients!$B$77,Nutrients!$F$77,Nutrients!$F$78)))))*G$7))/2000/2.2046</f>
        <v>1151.7373119130696</v>
      </c>
      <c r="H253" s="436"/>
      <c r="I253" s="56">
        <f>(SUMPRODUCT(I$8:I$217,Nutrients!$F$8:$F$217)+(IF($A$6=Nutrients!$B$8,Nutrients!$F$8,Nutrients!$F$9)*I$6)+(((IF($A$7=Nutrients!$B$79,Nutrients!$F$79,(IF($A$7=Nutrients!$B$77,Nutrients!$F$77,Nutrients!$F$78)))))*I$7))/2000/2.2046</f>
        <v>1169.9479888936839</v>
      </c>
      <c r="J253" s="56">
        <f>(SUMPRODUCT(J$8:J$217,Nutrients!$F$8:$F$217)+(IF($A$6=Nutrients!$B$8,Nutrients!$F$8,Nutrients!$F$9)*J$6)+(((IF($A$7=Nutrients!$B$79,Nutrients!$F$79,(IF($A$7=Nutrients!$B$77,Nutrients!$F$77,Nutrients!$F$78)))))*J$7))/2000/2.2046</f>
        <v>1160.0286563166494</v>
      </c>
      <c r="K253" s="56">
        <f>(SUMPRODUCT(K$8:K$217,Nutrients!$F$8:$F$217)+(IF($A$6=Nutrients!$B$8,Nutrients!$F$8,Nutrients!$F$9)*K$6)+(((IF($A$7=Nutrients!$B$79,Nutrients!$F$79,(IF($A$7=Nutrients!$B$77,Nutrients!$F$77,Nutrients!$F$78)))))*K$7))/2000/2.2046</f>
        <v>1150.9914744363314</v>
      </c>
      <c r="L253" s="56">
        <f>(SUMPRODUCT(L$8:L$217,Nutrients!$F$8:$F$217)+(IF($A$6=Nutrients!$B$8,Nutrients!$F$8,Nutrients!$F$9)*L$6)+(((IF($A$7=Nutrients!$B$79,Nutrients!$F$79,(IF($A$7=Nutrients!$B$77,Nutrients!$F$77,Nutrients!$F$78)))))*L$7))/2000/2.2046</f>
        <v>1141.3490160070526</v>
      </c>
      <c r="M253" s="56">
        <f>(SUMPRODUCT(M$8:M$217,Nutrients!$F$8:$F$217)+(IF($A$6=Nutrients!$B$8,Nutrients!$F$8,Nutrients!$F$9)*M$6)+(((IF($A$7=Nutrients!$B$79,Nutrients!$F$79,(IF($A$7=Nutrients!$B$77,Nutrients!$F$77,Nutrients!$F$78)))))*M$7))/2000/2.2046</f>
        <v>1132.3118341267348</v>
      </c>
      <c r="N253" s="56">
        <f>(SUMPRODUCT(N$8:N$217,Nutrients!$F$8:$F$217)+(IF($A$6=Nutrients!$B$8,Nutrients!$F$8,Nutrients!$F$9)*N$6)+(((IF($A$7=Nutrients!$B$79,Nutrients!$F$79,(IF($A$7=Nutrients!$B$77,Nutrients!$F$77,Nutrients!$F$78)))))*N$7))/2000/2.2046</f>
        <v>1122.2692962385313</v>
      </c>
      <c r="O253" s="436"/>
      <c r="P253" s="56">
        <f>(SUMPRODUCT(P$8:P$217,Nutrients!$F$8:$F$217)+(IF($A$6=Nutrients!$B$8,Nutrients!$F$8,Nutrients!$F$9)*P$6)+(((IF($A$7=Nutrients!$B$79,Nutrients!$F$79,(IF($A$7=Nutrients!$B$77,Nutrients!$F$77,Nutrients!$F$78)))))*P$7))/2000/2.2046</f>
        <v>1181.2953550675802</v>
      </c>
      <c r="Q253" s="56">
        <f>(SUMPRODUCT(Q$8:Q$217,Nutrients!$F$8:$F$217)+(IF($A$6=Nutrients!$B$8,Nutrients!$F$8,Nutrients!$F$9)*Q$6)+(((IF($A$7=Nutrients!$B$79,Nutrients!$F$79,(IF($A$7=Nutrients!$B$77,Nutrients!$F$77,Nutrients!$F$78)))))*Q$7))/2000/2.2046</f>
        <v>1174.0316614230476</v>
      </c>
      <c r="R253" s="56">
        <f>(SUMPRODUCT(R$8:R$217,Nutrients!$F$8:$F$217)+(IF($A$6=Nutrients!$B$8,Nutrients!$F$8,Nutrients!$F$9)*R$6)+(((IF($A$7=Nutrients!$B$79,Nutrients!$F$79,(IF($A$7=Nutrients!$B$77,Nutrients!$F$77,Nutrients!$F$78)))))*R$7))/2000/2.2046</f>
        <v>1167.3324020950993</v>
      </c>
      <c r="S253" s="56">
        <f>(SUMPRODUCT(S$8:S$217,Nutrients!$F$8:$F$217)+(IF($A$6=Nutrients!$B$8,Nutrients!$F$8,Nutrients!$F$9)*S$6)+(((IF($A$7=Nutrients!$B$79,Nutrients!$F$79,(IF($A$7=Nutrients!$B$77,Nutrients!$F$77,Nutrients!$F$78)))))*S$7))/2000/2.2046</f>
        <v>1160.0687084505662</v>
      </c>
      <c r="T253" s="56">
        <f>(SUMPRODUCT(T$8:T$217,Nutrients!$F$8:$F$217)+(IF($A$6=Nutrients!$B$8,Nutrients!$F$8,Nutrients!$F$9)*T$6)+(((IF($A$7=Nutrients!$B$79,Nutrients!$F$79,(IF($A$7=Nutrients!$B$77,Nutrients!$F$77,Nutrients!$F$78)))))*T$7))/2000/2.2046</f>
        <v>1152.7685044252396</v>
      </c>
      <c r="U253" s="56">
        <f>(SUMPRODUCT(U$8:U$217,Nutrients!$F$8:$F$217)+(IF($A$6=Nutrients!$B$8,Nutrients!$F$8,Nutrients!$F$9)*U$6)+(((IF($A$7=Nutrients!$B$79,Nutrients!$F$79,(IF($A$7=Nutrients!$B$77,Nutrients!$F$77,Nutrients!$F$78)))))*U$7))/2000/2.2046</f>
        <v>1145.9224208068372</v>
      </c>
      <c r="V253" s="436"/>
      <c r="W253" s="56">
        <f>(SUMPRODUCT(W$8:W$217,Nutrients!$F$8:$F$217)+(IF($A$6=Nutrients!$B$8,Nutrients!$F$8,Nutrients!$F$9)*W$6)+(((IF($A$7=Nutrients!$B$79,Nutrients!$F$79,(IF($A$7=Nutrients!$B$77,Nutrients!$F$77,Nutrients!$F$78)))))*W$7))/2000/2.2046</f>
        <v>1188.5487520596587</v>
      </c>
      <c r="X253" s="56">
        <f>(SUMPRODUCT(X$8:X$217,Nutrients!$F$8:$F$217)+(IF($A$6=Nutrients!$B$8,Nutrients!$F$8,Nutrients!$F$9)*X$6)+(((IF($A$7=Nutrients!$B$79,Nutrients!$F$79,(IF($A$7=Nutrients!$B$77,Nutrients!$F$77,Nutrients!$F$78)))))*X$7))/2000/2.2046</f>
        <v>1181.2953550675802</v>
      </c>
      <c r="Y253" s="56">
        <f>(SUMPRODUCT(Y$8:Y$217,Nutrients!$F$8:$F$217)+(IF($A$6=Nutrients!$B$8,Nutrients!$F$8,Nutrients!$F$9)*Y$6)+(((IF($A$7=Nutrients!$B$79,Nutrients!$F$79,(IF($A$7=Nutrients!$B$77,Nutrients!$F$77,Nutrients!$F$78)))))*Y$7))/2000/2.2046</f>
        <v>1174.0316614230476</v>
      </c>
      <c r="Z253" s="56">
        <f>(SUMPRODUCT(Z$8:Z$217,Nutrients!$F$8:$F$217)+(IF($A$6=Nutrients!$B$8,Nutrients!$F$8,Nutrients!$F$9)*Z$6)+(((IF($A$7=Nutrients!$B$79,Nutrients!$F$79,(IF($A$7=Nutrients!$B$77,Nutrients!$F$77,Nutrients!$F$78)))))*Z$7))/2000/2.2046</f>
        <v>1167.3324020950993</v>
      </c>
      <c r="AA253" s="56">
        <f>(SUMPRODUCT(AA$8:AA$217,Nutrients!$F$8:$F$217)+(IF($A$6=Nutrients!$B$8,Nutrients!$F$8,Nutrients!$F$9)*AA$6)+(((IF($A$7=Nutrients!$B$79,Nutrients!$F$79,(IF($A$7=Nutrients!$B$77,Nutrients!$F$77,Nutrients!$F$78)))))*AA$7))/2000/2.2046</f>
        <v>1160.0687084505662</v>
      </c>
      <c r="AB253" s="56">
        <f>(SUMPRODUCT(AB$8:AB$217,Nutrients!$F$8:$F$217)+(IF($A$6=Nutrients!$B$8,Nutrients!$F$8,Nutrients!$F$9)*AB$6)+(((IF($A$7=Nutrients!$B$79,Nutrients!$F$79,(IF($A$7=Nutrients!$B$77,Nutrients!$F$77,Nutrients!$F$78)))))*AB$7))/2000/2.2046</f>
        <v>1152.7685044252396</v>
      </c>
      <c r="AC253" s="56">
        <f>(SUMPRODUCT(AC$8:AC$217,Nutrients!$F$8:$F$217)+(IF($A$6=Nutrients!$B$8,Nutrients!$F$8,Nutrients!$F$9)*AC$6)+(((IF($A$7=Nutrients!$B$79,Nutrients!$F$79,(IF($A$7=Nutrients!$B$77,Nutrients!$F$77,Nutrients!$F$78)))))*AC$7))/2000/2.2046</f>
        <v>1145.9224208068372</v>
      </c>
      <c r="AD253" s="436"/>
      <c r="AE253" s="56">
        <f>(SUMPRODUCT(AE$8:AE$217,Nutrients!$F$8:$F$217)+(IF($A$6=Nutrients!$B$8,Nutrients!$F$8,Nutrients!$F$9)*AE$6)+(((IF($A$7=Nutrients!$B$79,Nutrients!$F$79,(IF($A$7=Nutrients!$B$77,Nutrients!$F$77,Nutrients!$F$78)))))*AE$7))/2000/2.2046</f>
        <v>1168.2550824885468</v>
      </c>
      <c r="AF253" s="56">
        <f>(SUMPRODUCT(AF$8:AF$217,Nutrients!$F$8:$F$217)+(IF($A$6=Nutrients!$B$8,Nutrients!$F$8,Nutrients!$F$9)*AF$6)+(((IF($A$7=Nutrients!$B$79,Nutrients!$F$79,(IF($A$7=Nutrients!$B$77,Nutrients!$F$77,Nutrients!$F$78)))))*AF$7))/2000/2.2046</f>
        <v>1168.2579143891785</v>
      </c>
      <c r="AG253" s="56">
        <f>(SUMPRODUCT(AG$8:AG$217,Nutrients!$F$8:$F$217)+(IF($A$6=Nutrients!$B$8,Nutrients!$F$8,Nutrients!$F$9)*AG$6)+(((IF($A$7=Nutrients!$B$79,Nutrients!$F$79,(IF($A$7=Nutrients!$B$77,Nutrients!$F$77,Nutrients!$F$78)))))*AG$7))/2000/2.2046</f>
        <v>1168.26074628981</v>
      </c>
      <c r="AH253" s="56">
        <f>(SUMPRODUCT(AH$8:AH$217,Nutrients!$F$8:$F$217)+(IF($A$6=Nutrients!$B$8,Nutrients!$F$8,Nutrients!$F$9)*AH$6)+(((IF($A$7=Nutrients!$B$79,Nutrients!$F$79,(IF($A$7=Nutrients!$B$77,Nutrients!$F$77,Nutrients!$F$78)))))*AH$7))/2000/2.2046</f>
        <v>1168.2635781904416</v>
      </c>
      <c r="AI253" s="56">
        <f>(SUMPRODUCT(AI$8:AI$217,Nutrients!$F$8:$F$217)+(IF($A$6=Nutrients!$B$8,Nutrients!$F$8,Nutrients!$F$9)*AI$6)+(((IF($A$7=Nutrients!$B$79,Nutrients!$F$79,(IF($A$7=Nutrients!$B$77,Nutrients!$F$77,Nutrients!$F$78)))))*AI$7))/2000/2.2046</f>
        <v>1168.2664100910733</v>
      </c>
      <c r="AJ253" s="56">
        <f>(SUMPRODUCT(AJ$8:AJ$217,Nutrients!$F$8:$F$217)+(IF($A$6=Nutrients!$B$8,Nutrients!$F$8,Nutrients!$F$9)*AJ$6)+(((IF($A$7=Nutrients!$B$79,Nutrients!$F$79,(IF($A$7=Nutrients!$B$77,Nutrients!$F$77,Nutrients!$F$78)))))*AJ$7))/2000/2.2046</f>
        <v>1167.1858980737004</v>
      </c>
      <c r="AK253" s="19"/>
      <c r="AL253" s="19"/>
    </row>
    <row r="254" spans="1:38" x14ac:dyDescent="0.15">
      <c r="A254" s="98" t="s">
        <v>381</v>
      </c>
      <c r="B254" s="58">
        <f t="shared" ref="B254:G254" si="91">IF(B$4="","",B225/(B253*2.2046)*10000)</f>
        <v>3.9292849507916761</v>
      </c>
      <c r="C254" s="58">
        <f t="shared" si="91"/>
        <v>4.3228473810323456</v>
      </c>
      <c r="D254" s="58">
        <f t="shared" si="91"/>
        <v>4.7180134466043686</v>
      </c>
      <c r="E254" s="58">
        <f t="shared" si="91"/>
        <v>5.112137848243445</v>
      </c>
      <c r="F254" s="58">
        <f t="shared" si="91"/>
        <v>5.5078772908876363</v>
      </c>
      <c r="G254" s="58">
        <f t="shared" si="91"/>
        <v>5.9075583431010221</v>
      </c>
      <c r="H254" s="437"/>
      <c r="I254" s="58">
        <f t="shared" ref="I254:N254" si="92">IF(I$4="","",I225/(I253*2.2046)*10000)</f>
        <v>3.1016559963999519</v>
      </c>
      <c r="J254" s="58">
        <f t="shared" si="92"/>
        <v>3.4409958693825451</v>
      </c>
      <c r="K254" s="58">
        <f t="shared" si="92"/>
        <v>3.7832873057607235</v>
      </c>
      <c r="L254" s="58">
        <f t="shared" si="92"/>
        <v>4.1331871212367677</v>
      </c>
      <c r="M254" s="58">
        <f t="shared" si="92"/>
        <v>4.4866498081223867</v>
      </c>
      <c r="N254" s="58">
        <f t="shared" si="92"/>
        <v>4.8501409698063487</v>
      </c>
      <c r="O254" s="437"/>
      <c r="P254" s="58">
        <f t="shared" ref="P254:AE254" si="93">IF(P$4="","",P225/(P253*2.2046)*10000)</f>
        <v>2.4958877946779081</v>
      </c>
      <c r="Q254" s="58">
        <f>IF(Q$4="","",Q225/(Q253*2.2046)*10000)</f>
        <v>2.7817806648815044</v>
      </c>
      <c r="R254" s="58">
        <f>IF(R$4="","",R225/(R253*2.2046)*10000)</f>
        <v>3.069748159441458</v>
      </c>
      <c r="S254" s="58">
        <f>IF(S$4="","",S225/(S253*2.2046)*10000)</f>
        <v>3.3626753152237971</v>
      </c>
      <c r="T254" s="58">
        <f>IF(T$4="","",T225/(T253*2.2046)*10000)</f>
        <v>3.6594097694020697</v>
      </c>
      <c r="U254" s="58">
        <f>IF(U$4="","",U225/(U253*2.2046)*10000)</f>
        <v>3.9583571816680649</v>
      </c>
      <c r="V254" s="437"/>
      <c r="W254" s="58">
        <f t="shared" si="93"/>
        <v>2.2135084799688216</v>
      </c>
      <c r="X254" s="58">
        <f t="shared" ref="X254:AC254" si="94">IF(X$4="","",X225/(X253*2.2046)*10000)</f>
        <v>2.4958877946779081</v>
      </c>
      <c r="Y254" s="58">
        <f t="shared" si="94"/>
        <v>2.7817806648815044</v>
      </c>
      <c r="Z254" s="58">
        <f t="shared" si="94"/>
        <v>3.069748159441458</v>
      </c>
      <c r="AA254" s="58">
        <f t="shared" si="94"/>
        <v>3.3626753152237971</v>
      </c>
      <c r="AB254" s="58">
        <f t="shared" si="94"/>
        <v>3.6594097694020697</v>
      </c>
      <c r="AC254" s="58">
        <f t="shared" si="94"/>
        <v>3.9583571816680649</v>
      </c>
      <c r="AD254" s="437"/>
      <c r="AE254" s="58">
        <f t="shared" si="93"/>
        <v>1.669555933606869</v>
      </c>
      <c r="AF254" s="58">
        <f t="shared" ref="AF254" si="95">IF(AF$4="","",AF225/(AF253*2.2046)*10000)</f>
        <v>1.9413394029548785</v>
      </c>
      <c r="AG254" s="58">
        <f t="shared" ref="AG254" si="96">IF(AG$4="","",AG225/(AG253*2.2046)*10000)</f>
        <v>2.2131215546796077</v>
      </c>
      <c r="AH254" s="58">
        <f t="shared" ref="AH254" si="97">IF(AH$4="","",AH225/(AH253*2.2046)*10000)</f>
        <v>2.4849023887906387</v>
      </c>
      <c r="AI254" s="58">
        <f t="shared" ref="AI254" si="98">IF(AI$4="","",AI225/(AI253*2.2046)*10000)</f>
        <v>2.756681905297552</v>
      </c>
      <c r="AJ254" s="58">
        <f t="shared" ref="AJ254" si="99">IF(AJ$4="","",AJ225/(AJ253*2.2046)*10000)</f>
        <v>3.0701334711992359</v>
      </c>
      <c r="AK254" s="58"/>
      <c r="AL254" s="58"/>
    </row>
    <row r="255" spans="1:38" x14ac:dyDescent="0.15">
      <c r="A255" s="112" t="s">
        <v>142</v>
      </c>
      <c r="B255" s="57">
        <f>(SUMPRODUCT(B$8:B$217,Nutrients!$I$8:$I$217)+(IF($A$6=Nutrients!$B$8,Nutrients!$I$8,Nutrients!$I$9)*B$6)+(((IF($A$7=Nutrients!$B$79,Nutrients!$I$79,(IF($A$7=Nutrients!$B$77,Nutrients!$I$77,Nutrients!$I$78)))))*B$7))/2000</f>
        <v>18.272770634890176</v>
      </c>
      <c r="C255" s="57">
        <f>(SUMPRODUCT(C$8:C$217,Nutrients!$I$8:$I$217)+(IF($A$6=Nutrients!$B$8,Nutrients!$I$8,Nutrients!$I$9)*C$6)+(((IF($A$7=Nutrients!$B$79,Nutrients!$I$79,(IF($A$7=Nutrients!$B$77,Nutrients!$I$77,Nutrients!$I$78)))))*C$7))/2000</f>
        <v>19.346095900996165</v>
      </c>
      <c r="D255" s="57">
        <f>(SUMPRODUCT(D$8:D$217,Nutrients!$I$8:$I$217)+(IF($A$6=Nutrients!$B$8,Nutrients!$I$8,Nutrients!$I$9)*D$6)+(((IF($A$7=Nutrients!$B$79,Nutrients!$I$79,(IF($A$7=Nutrients!$B$77,Nutrients!$I$77,Nutrients!$I$78)))))*D$7))/2000</f>
        <v>20.418111587041718</v>
      </c>
      <c r="E255" s="57">
        <f>(SUMPRODUCT(E$8:E$217,Nutrients!$I$8:$I$217)+(IF($A$6=Nutrients!$B$8,Nutrients!$I$8,Nutrients!$I$9)*E$6)+(((IF($A$7=Nutrients!$B$79,Nutrients!$I$79,(IF($A$7=Nutrients!$B$77,Nutrients!$I$77,Nutrients!$I$78)))))*E$7))/2000</f>
        <v>21.495524247407527</v>
      </c>
      <c r="F255" s="57">
        <f>(SUMPRODUCT(F$8:F$217,Nutrients!$I$8:$I$217)+(IF($A$6=Nutrients!$B$8,Nutrients!$I$8,Nutrients!$I$9)*F$6)+(((IF($A$7=Nutrients!$B$79,Nutrients!$I$79,(IF($A$7=Nutrients!$B$77,Nutrients!$I$77,Nutrients!$I$78)))))*F$7))/2000</f>
        <v>22.574364196292965</v>
      </c>
      <c r="G255" s="57">
        <f>(SUMPRODUCT(G$8:G$217,Nutrients!$I$8:$I$217)+(IF($A$6=Nutrients!$B$8,Nutrients!$I$8,Nutrients!$I$9)*G$6)+(((IF($A$7=Nutrients!$B$79,Nutrients!$I$79,(IF($A$7=Nutrients!$B$77,Nutrients!$I$77,Nutrients!$I$78)))))*G$7))/2000</f>
        <v>23.651663911039435</v>
      </c>
      <c r="H255" s="438"/>
      <c r="I255" s="57">
        <f>(SUMPRODUCT(I$8:I$217,Nutrients!$I$8:$I$217)+(IF($A$6=Nutrients!$B$8,Nutrients!$I$8,Nutrients!$I$9)*I$6)+(((IF($A$7=Nutrients!$B$79,Nutrients!$I$79,(IF($A$7=Nutrients!$B$77,Nutrients!$I$77,Nutrients!$I$78)))))*I$7))/2000</f>
        <v>14.76203407422226</v>
      </c>
      <c r="J255" s="57">
        <f>(SUMPRODUCT(J$8:J$217,Nutrients!$I$8:$I$217)+(IF($A$6=Nutrients!$B$8,Nutrients!$I$8,Nutrients!$I$9)*J$6)+(((IF($A$7=Nutrients!$B$79,Nutrients!$I$79,(IF($A$7=Nutrients!$B$77,Nutrients!$I$77,Nutrients!$I$78)))))*J$7))/2000</f>
        <v>15.967807479978772</v>
      </c>
      <c r="K255" s="57">
        <f>(SUMPRODUCT(K$8:K$217,Nutrients!$I$8:$I$217)+(IF($A$6=Nutrients!$B$8,Nutrients!$I$8,Nutrients!$I$9)*K$6)+(((IF($A$7=Nutrients!$B$79,Nutrients!$I$79,(IF($A$7=Nutrients!$B$77,Nutrients!$I$77,Nutrients!$I$78)))))*K$7))/2000</f>
        <v>17.17042646277455</v>
      </c>
      <c r="L255" s="57">
        <f>(SUMPRODUCT(L$8:L$217,Nutrients!$I$8:$I$217)+(IF($A$6=Nutrients!$B$8,Nutrients!$I$8,Nutrients!$I$9)*L$6)+(((IF($A$7=Nutrients!$B$79,Nutrients!$I$79,(IF($A$7=Nutrients!$B$77,Nutrients!$I$77,Nutrients!$I$78)))))*L$7))/2000</f>
        <v>18.309830076214585</v>
      </c>
      <c r="M255" s="57">
        <f>(SUMPRODUCT(M$8:M$217,Nutrients!$I$8:$I$217)+(IF($A$6=Nutrients!$B$8,Nutrients!$I$8,Nutrients!$I$9)*M$6)+(((IF($A$7=Nutrients!$B$79,Nutrients!$I$79,(IF($A$7=Nutrients!$B$77,Nutrients!$I$77,Nutrients!$I$78)))))*M$7))/2000</f>
        <v>19.512449059010375</v>
      </c>
      <c r="N255" s="57">
        <f>(SUMPRODUCT(N$8:N$217,Nutrients!$I$8:$I$217)+(IF($A$6=Nutrients!$B$8,Nutrients!$I$8,Nutrients!$I$9)*N$6)+(((IF($A$7=Nutrients!$B$79,Nutrients!$I$79,(IF($A$7=Nutrients!$B$77,Nutrients!$I$77,Nutrients!$I$78)))))*N$7))/2000</f>
        <v>20.717696727606764</v>
      </c>
      <c r="O255" s="438"/>
      <c r="P255" s="57">
        <f>(SUMPRODUCT(P$8:P$217,Nutrients!$I$8:$I$217)+(IF($A$6=Nutrients!$B$8,Nutrients!$I$8,Nutrients!$I$9)*P$6)+(((IF($A$7=Nutrients!$B$79,Nutrients!$I$79,(IF($A$7=Nutrients!$B$77,Nutrients!$I$77,Nutrients!$I$78)))))*P$7))/2000</f>
        <v>13.352517518306524</v>
      </c>
      <c r="Q255" s="57">
        <f>(SUMPRODUCT(Q$8:Q$217,Nutrients!$I$8:$I$217)+(IF($A$6=Nutrients!$B$8,Nutrients!$I$8,Nutrients!$I$9)*Q$6)+(((IF($A$7=Nutrients!$B$79,Nutrients!$I$79,(IF($A$7=Nutrients!$B$77,Nutrients!$I$77,Nutrients!$I$78)))))*Q$7))/2000</f>
        <v>14.2772955066057</v>
      </c>
      <c r="R255" s="57">
        <f>(SUMPRODUCT(R$8:R$217,Nutrients!$I$8:$I$217)+(IF($A$6=Nutrients!$B$8,Nutrients!$I$8,Nutrients!$I$9)*R$6)+(((IF($A$7=Nutrients!$B$79,Nutrients!$I$79,(IF($A$7=Nutrients!$B$77,Nutrients!$I$77,Nutrients!$I$78)))))*R$7))/2000</f>
        <v>15.261276232840693</v>
      </c>
      <c r="S255" s="57">
        <f>(SUMPRODUCT(S$8:S$217,Nutrients!$I$8:$I$217)+(IF($A$6=Nutrients!$B$8,Nutrients!$I$8,Nutrients!$I$9)*S$6)+(((IF($A$7=Nutrients!$B$79,Nutrients!$I$79,(IF($A$7=Nutrients!$B$77,Nutrients!$I$77,Nutrients!$I$78)))))*S$7))/2000</f>
        <v>16.186054221139873</v>
      </c>
      <c r="T255" s="57">
        <f>(SUMPRODUCT(T$8:T$217,Nutrients!$I$8:$I$217)+(IF($A$6=Nutrients!$B$8,Nutrients!$I$8,Nutrients!$I$9)*T$6)+(((IF($A$7=Nutrients!$B$79,Nutrients!$I$79,(IF($A$7=Nutrients!$B$77,Nutrients!$I$77,Nutrients!$I$78)))))*T$7))/2000</f>
        <v>17.107490078019104</v>
      </c>
      <c r="U255" s="57">
        <f>(SUMPRODUCT(U$8:U$217,Nutrients!$I$8:$I$217)+(IF($A$6=Nutrients!$B$8,Nutrients!$I$8,Nutrients!$I$9)*U$6)+(((IF($A$7=Nutrients!$B$79,Nutrients!$I$79,(IF($A$7=Nutrients!$B$77,Nutrients!$I$77,Nutrients!$I$78)))))*U$7))/2000</f>
        <v>18.147255013186903</v>
      </c>
      <c r="V255" s="438"/>
      <c r="W255" s="57">
        <f>(SUMPRODUCT(W$8:W$217,Nutrients!$I$8:$I$217)+(IF($A$6=Nutrients!$B$8,Nutrients!$I$8,Nutrients!$I$9)*W$6)+(((IF($A$7=Nutrients!$B$79,Nutrients!$I$79,(IF($A$7=Nutrients!$B$77,Nutrients!$I$77,Nutrients!$I$78)))))*W$7))/2000</f>
        <v>12.427057030007351</v>
      </c>
      <c r="X255" s="57">
        <f>(SUMPRODUCT(X$8:X$217,Nutrients!$I$8:$I$217)+(IF($A$6=Nutrients!$B$8,Nutrients!$I$8,Nutrients!$I$9)*X$6)+(((IF($A$7=Nutrients!$B$79,Nutrients!$I$79,(IF($A$7=Nutrients!$B$77,Nutrients!$I$77,Nutrients!$I$78)))))*X$7))/2000</f>
        <v>13.352517518306524</v>
      </c>
      <c r="Y255" s="57">
        <f>(SUMPRODUCT(Y$8:Y$217,Nutrients!$I$8:$I$217)+(IF($A$6=Nutrients!$B$8,Nutrients!$I$8,Nutrients!$I$9)*Y$6)+(((IF($A$7=Nutrients!$B$79,Nutrients!$I$79,(IF($A$7=Nutrients!$B$77,Nutrients!$I$77,Nutrients!$I$78)))))*Y$7))/2000</f>
        <v>14.2772955066057</v>
      </c>
      <c r="Z255" s="57">
        <f>(SUMPRODUCT(Z$8:Z$217,Nutrients!$I$8:$I$217)+(IF($A$6=Nutrients!$B$8,Nutrients!$I$8,Nutrients!$I$9)*Z$6)+(((IF($A$7=Nutrients!$B$79,Nutrients!$I$79,(IF($A$7=Nutrients!$B$77,Nutrients!$I$77,Nutrients!$I$78)))))*Z$7))/2000</f>
        <v>15.261276232840693</v>
      </c>
      <c r="AA255" s="57">
        <f>(SUMPRODUCT(AA$8:AA$217,Nutrients!$I$8:$I$217)+(IF($A$6=Nutrients!$B$8,Nutrients!$I$8,Nutrients!$I$9)*AA$6)+(((IF($A$7=Nutrients!$B$79,Nutrients!$I$79,(IF($A$7=Nutrients!$B$77,Nutrients!$I$77,Nutrients!$I$78)))))*AA$7))/2000</f>
        <v>16.186054221139873</v>
      </c>
      <c r="AB255" s="57">
        <f>(SUMPRODUCT(AB$8:AB$217,Nutrients!$I$8:$I$217)+(IF($A$6=Nutrients!$B$8,Nutrients!$I$8,Nutrients!$I$9)*AB$6)+(((IF($A$7=Nutrients!$B$79,Nutrients!$I$79,(IF($A$7=Nutrients!$B$77,Nutrients!$I$77,Nutrients!$I$78)))))*AB$7))/2000</f>
        <v>17.107490078019104</v>
      </c>
      <c r="AC255" s="57">
        <f>(SUMPRODUCT(AC$8:AC$217,Nutrients!$I$8:$I$217)+(IF($A$6=Nutrients!$B$8,Nutrients!$I$8,Nutrients!$I$9)*AC$6)+(((IF($A$7=Nutrients!$B$79,Nutrients!$I$79,(IF($A$7=Nutrients!$B$77,Nutrients!$I$77,Nutrients!$I$78)))))*AC$7))/2000</f>
        <v>18.147255013186903</v>
      </c>
      <c r="AD255" s="438"/>
      <c r="AE255" s="57">
        <f>(SUMPRODUCT(AE$8:AE$217,Nutrients!$I$8:$I$217)+(IF($A$6=Nutrients!$B$8,Nutrients!$I$8,Nutrients!$I$9)*AE$6)+(((IF($A$7=Nutrients!$B$79,Nutrients!$I$79,(IF($A$7=Nutrients!$B$77,Nutrients!$I$77,Nutrients!$I$78)))))*AE$7))/2000</f>
        <v>12.061161734710538</v>
      </c>
      <c r="AF255" s="57">
        <f>(SUMPRODUCT(AF$8:AF$217,Nutrients!$I$8:$I$217)+(IF($A$6=Nutrients!$B$8,Nutrients!$I$8,Nutrients!$I$9)*AF$6)+(((IF($A$7=Nutrients!$B$79,Nutrients!$I$79,(IF($A$7=Nutrients!$B$77,Nutrients!$I$77,Nutrients!$I$78)))))*AF$7))/2000</f>
        <v>12.501482314387195</v>
      </c>
      <c r="AG255" s="57">
        <f>(SUMPRODUCT(AG$8:AG$217,Nutrients!$I$8:$I$217)+(IF($A$6=Nutrients!$B$8,Nutrients!$I$8,Nutrients!$I$9)*AG$6)+(((IF($A$7=Nutrients!$B$79,Nutrients!$I$79,(IF($A$7=Nutrients!$B$77,Nutrients!$I$77,Nutrients!$I$78)))))*AG$7))/2000</f>
        <v>12.941802894063855</v>
      </c>
      <c r="AH255" s="57">
        <f>(SUMPRODUCT(AH$8:AH$217,Nutrients!$I$8:$I$217)+(IF($A$6=Nutrients!$B$8,Nutrients!$I$8,Nutrients!$I$9)*AH$6)+(((IF($A$7=Nutrients!$B$79,Nutrients!$I$79,(IF($A$7=Nutrients!$B$77,Nutrients!$I$77,Nutrients!$I$78)))))*AH$7))/2000</f>
        <v>13.382123473740501</v>
      </c>
      <c r="AI255" s="57">
        <f>(SUMPRODUCT(AI$8:AI$217,Nutrients!$I$8:$I$217)+(IF($A$6=Nutrients!$B$8,Nutrients!$I$8,Nutrients!$I$9)*AI$6)+(((IF($A$7=Nutrients!$B$79,Nutrients!$I$79,(IF($A$7=Nutrients!$B$77,Nutrients!$I$77,Nutrients!$I$78)))))*AI$7))/2000</f>
        <v>13.822444053417167</v>
      </c>
      <c r="AJ255" s="57">
        <f>(SUMPRODUCT(AJ$8:AJ$217,Nutrients!$I$8:$I$217)+(IF($A$6=Nutrients!$B$8,Nutrients!$I$8,Nutrients!$I$9)*AJ$6)+(((IF($A$7=Nutrients!$B$79,Nutrients!$I$79,(IF($A$7=Nutrients!$B$77,Nutrients!$I$77,Nutrients!$I$78)))))*AJ$7))/2000</f>
        <v>14.423987789785256</v>
      </c>
      <c r="AK255" s="19"/>
      <c r="AL255" s="19"/>
    </row>
    <row r="256" spans="1:38" x14ac:dyDescent="0.15">
      <c r="A256" s="108" t="s">
        <v>131</v>
      </c>
      <c r="B256" s="58">
        <f>(SUMPRODUCT(B$8:B$217,Nutrients!$BS$8:$BS$217)+(IF($A$6=Nutrients!$B$8,Nutrients!$BS$8,Nutrients!$BS$9)*B$6)+(((IF($A$7=Nutrients!$B$79,Nutrients!$BS$79,(IF($A$7=Nutrients!$B$77,Nutrients!$BS$77,Nutrients!$BS$78)))))*B$7))/2000</f>
        <v>0.68673593863803362</v>
      </c>
      <c r="C256" s="58">
        <f>(SUMPRODUCT(C$8:C$217,Nutrients!$BS$8:$BS$217)+(IF($A$6=Nutrients!$B$8,Nutrients!$BS$8,Nutrients!$BS$9)*C$6)+(((IF($A$7=Nutrients!$B$79,Nutrients!$BS$79,(IF($A$7=Nutrients!$B$77,Nutrients!$BS$77,Nutrients!$BS$78)))))*C$7))/2000</f>
        <v>0.68156717926839228</v>
      </c>
      <c r="D256" s="58">
        <f>(SUMPRODUCT(D$8:D$217,Nutrients!$BS$8:$BS$217)+(IF($A$6=Nutrients!$B$8,Nutrients!$BS$8,Nutrients!$BS$9)*D$6)+(((IF($A$7=Nutrients!$B$79,Nutrients!$BS$79,(IF($A$7=Nutrients!$B$77,Nutrients!$BS$77,Nutrients!$BS$78)))))*D$7))/2000</f>
        <v>0.67962461476279901</v>
      </c>
      <c r="E256" s="58">
        <f>(SUMPRODUCT(E$8:E$217,Nutrients!$BS$8:$BS$217)+(IF($A$6=Nutrients!$B$8,Nutrients!$BS$8,Nutrients!$BS$9)*E$6)+(((IF($A$7=Nutrients!$B$79,Nutrients!$BS$79,(IF($A$7=Nutrients!$B$77,Nutrients!$BS$77,Nutrients!$BS$78)))))*E$7))/2000</f>
        <v>0.67830636747774975</v>
      </c>
      <c r="F256" s="58">
        <f>(SUMPRODUCT(F$8:F$217,Nutrients!$BS$8:$BS$217)+(IF($A$6=Nutrients!$B$8,Nutrients!$BS$8,Nutrients!$BS$9)*F$6)+(((IF($A$7=Nutrients!$B$79,Nutrients!$BS$79,(IF($A$7=Nutrients!$B$77,Nutrients!$BS$77,Nutrients!$BS$78)))))*F$7))/2000</f>
        <v>0.67636414436188441</v>
      </c>
      <c r="G256" s="58">
        <f>(SUMPRODUCT(G$8:G$217,Nutrients!$BS$8:$BS$217)+(IF($A$6=Nutrients!$B$8,Nutrients!$BS$8,Nutrients!$BS$9)*G$6)+(((IF($A$7=Nutrients!$B$79,Nutrients!$BS$79,(IF($A$7=Nutrients!$B$77,Nutrients!$BS$77,Nutrients!$BS$78)))))*G$7))/2000</f>
        <v>0.67504401943333059</v>
      </c>
      <c r="H256" s="437"/>
      <c r="I256" s="58">
        <f>(SUMPRODUCT(I$8:I$217,Nutrients!$BS$8:$BS$217)+(IF($A$6=Nutrients!$B$8,Nutrients!$BS$8,Nutrients!$BS$9)*I$6)+(((IF($A$7=Nutrients!$B$79,Nutrients!$BS$79,(IF($A$7=Nutrients!$B$77,Nutrients!$BS$77,Nutrients!$BS$78)))))*I$7))/2000</f>
        <v>0.67692216024332486</v>
      </c>
      <c r="J256" s="58">
        <f>(SUMPRODUCT(J$8:J$217,Nutrients!$BS$8:$BS$217)+(IF($A$6=Nutrients!$B$8,Nutrients!$BS$8,Nutrients!$BS$9)*J$6)+(((IF($A$7=Nutrients!$B$79,Nutrients!$BS$79,(IF($A$7=Nutrients!$B$77,Nutrients!$BS$77,Nutrients!$BS$78)))))*J$7))/2000</f>
        <v>0.67306945765493598</v>
      </c>
      <c r="K256" s="58">
        <f>(SUMPRODUCT(K$8:K$217,Nutrients!$BS$8:$BS$217)+(IF($A$6=Nutrients!$B$8,Nutrients!$BS$8,Nutrients!$BS$9)*K$6)+(((IF($A$7=Nutrients!$B$79,Nutrients!$BS$79,(IF($A$7=Nutrients!$B$77,Nutrients!$BS$77,Nutrients!$BS$78)))))*K$7))/2000</f>
        <v>0.67306880340491548</v>
      </c>
      <c r="L256" s="58">
        <f>(SUMPRODUCT(L$8:L$217,Nutrients!$BS$8:$BS$217)+(IF($A$6=Nutrients!$B$8,Nutrients!$BS$8,Nutrients!$BS$9)*L$6)+(((IF($A$7=Nutrients!$B$79,Nutrients!$BS$79,(IF($A$7=Nutrients!$B$77,Nutrients!$BS$77,Nutrients!$BS$78)))))*L$7))/2000</f>
        <v>0.67256761878010929</v>
      </c>
      <c r="M256" s="58">
        <f>(SUMPRODUCT(M$8:M$217,Nutrients!$BS$8:$BS$217)+(IF($A$6=Nutrients!$B$8,Nutrients!$BS$8,Nutrients!$BS$9)*M$6)+(((IF($A$7=Nutrients!$B$79,Nutrients!$BS$79,(IF($A$7=Nutrients!$B$77,Nutrients!$BS$77,Nutrients!$BS$78)))))*M$7))/2000</f>
        <v>0.67256696453008913</v>
      </c>
      <c r="N256" s="58">
        <f>(SUMPRODUCT(N$8:N$217,Nutrients!$BS$8:$BS$217)+(IF($A$6=Nutrients!$B$8,Nutrients!$BS$8,Nutrients!$BS$9)*N$6)+(((IF($A$7=Nutrients!$B$79,Nutrients!$BS$79,(IF($A$7=Nutrients!$B$77,Nutrients!$BS$77,Nutrients!$BS$78)))))*N$7))/2000</f>
        <v>0.67256460333142809</v>
      </c>
      <c r="O256" s="437"/>
      <c r="P256" s="58">
        <f>(SUMPRODUCT(P$8:P$217,Nutrients!$BS$8:$BS$217)+(IF($A$6=Nutrients!$B$8,Nutrients!$BS$8,Nutrients!$BS$9)*P$6)+(((IF($A$7=Nutrients!$B$79,Nutrients!$BS$79,(IF($A$7=Nutrients!$B$77,Nutrients!$BS$77,Nutrients!$BS$78)))))*P$7))/2000</f>
        <v>0.50710454524373316</v>
      </c>
      <c r="Q256" s="58">
        <f>(SUMPRODUCT(Q$8:Q$217,Nutrients!$BS$8:$BS$217)+(IF($A$6=Nutrients!$B$8,Nutrients!$BS$8,Nutrients!$BS$9)*Q$6)+(((IF($A$7=Nutrients!$B$79,Nutrients!$BS$79,(IF($A$7=Nutrients!$B$77,Nutrients!$BS$77,Nutrients!$BS$78)))))*Q$7))/2000</f>
        <v>0.50754189121417492</v>
      </c>
      <c r="R256" s="58">
        <f>(SUMPRODUCT(R$8:R$217,Nutrients!$BS$8:$BS$217)+(IF($A$6=Nutrients!$B$8,Nutrients!$BS$8,Nutrients!$BS$9)*R$6)+(((IF($A$7=Nutrients!$B$79,Nutrients!$BS$79,(IF($A$7=Nutrients!$B$77,Nutrients!$BS$77,Nutrients!$BS$78)))))*R$7))/2000</f>
        <v>0.50847959686453814</v>
      </c>
      <c r="S256" s="58">
        <f>(SUMPRODUCT(S$8:S$217,Nutrients!$BS$8:$BS$217)+(IF($A$6=Nutrients!$B$8,Nutrients!$BS$8,Nutrients!$BS$9)*S$6)+(((IF($A$7=Nutrients!$B$79,Nutrients!$BS$79,(IF($A$7=Nutrients!$B$77,Nutrients!$BS$77,Nutrients!$BS$78)))))*S$7))/2000</f>
        <v>0.50891694283498001</v>
      </c>
      <c r="T256" s="58">
        <f>(SUMPRODUCT(T$8:T$217,Nutrients!$BS$8:$BS$217)+(IF($A$6=Nutrients!$B$8,Nutrients!$BS$8,Nutrients!$BS$9)*T$6)+(((IF($A$7=Nutrients!$B$79,Nutrients!$BS$79,(IF($A$7=Nutrients!$B$77,Nutrients!$BS$77,Nutrients!$BS$78)))))*T$7))/2000</f>
        <v>0.50935411811055764</v>
      </c>
      <c r="U256" s="58">
        <f>(SUMPRODUCT(U$8:U$217,Nutrients!$BS$8:$BS$217)+(IF($A$6=Nutrients!$B$8,Nutrients!$BS$8,Nutrients!$BS$9)*U$6)+(((IF($A$7=Nutrients!$B$79,Nutrients!$BS$79,(IF($A$7=Nutrients!$B$77,Nutrients!$BS$77,Nutrients!$BS$78)))))*U$7))/2000</f>
        <v>0.50821441818404511</v>
      </c>
      <c r="V256" s="437"/>
      <c r="W256" s="58">
        <f>(SUMPRODUCT(W$8:W$217,Nutrients!$BS$8:$BS$217)+(IF($A$6=Nutrients!$B$8,Nutrients!$BS$8,Nutrients!$BS$9)*W$6)+(((IF($A$7=Nutrients!$B$79,Nutrients!$BS$79,(IF($A$7=Nutrients!$B$77,Nutrients!$BS$77,Nutrients!$BS$78)))))*W$7))/2000</f>
        <v>0.5066671992732914</v>
      </c>
      <c r="X256" s="58">
        <f>(SUMPRODUCT(X$8:X$217,Nutrients!$BS$8:$BS$217)+(IF($A$6=Nutrients!$B$8,Nutrients!$BS$8,Nutrients!$BS$9)*X$6)+(((IF($A$7=Nutrients!$B$79,Nutrients!$BS$79,(IF($A$7=Nutrients!$B$77,Nutrients!$BS$77,Nutrients!$BS$78)))))*X$7))/2000</f>
        <v>0.50710454524373316</v>
      </c>
      <c r="Y256" s="58">
        <f>(SUMPRODUCT(Y$8:Y$217,Nutrients!$BS$8:$BS$217)+(IF($A$6=Nutrients!$B$8,Nutrients!$BS$8,Nutrients!$BS$9)*Y$6)+(((IF($A$7=Nutrients!$B$79,Nutrients!$BS$79,(IF($A$7=Nutrients!$B$77,Nutrients!$BS$77,Nutrients!$BS$78)))))*Y$7))/2000</f>
        <v>0.50754189121417492</v>
      </c>
      <c r="Z256" s="58">
        <f>(SUMPRODUCT(Z$8:Z$217,Nutrients!$BS$8:$BS$217)+(IF($A$6=Nutrients!$B$8,Nutrients!$BS$8,Nutrients!$BS$9)*Z$6)+(((IF($A$7=Nutrients!$B$79,Nutrients!$BS$79,(IF($A$7=Nutrients!$B$77,Nutrients!$BS$77,Nutrients!$BS$78)))))*Z$7))/2000</f>
        <v>0.50847959686453814</v>
      </c>
      <c r="AA256" s="58">
        <f>(SUMPRODUCT(AA$8:AA$217,Nutrients!$BS$8:$BS$217)+(IF($A$6=Nutrients!$B$8,Nutrients!$BS$8,Nutrients!$BS$9)*AA$6)+(((IF($A$7=Nutrients!$B$79,Nutrients!$BS$79,(IF($A$7=Nutrients!$B$77,Nutrients!$BS$77,Nutrients!$BS$78)))))*AA$7))/2000</f>
        <v>0.50891694283498001</v>
      </c>
      <c r="AB256" s="58">
        <f>(SUMPRODUCT(AB$8:AB$217,Nutrients!$BS$8:$BS$217)+(IF($A$6=Nutrients!$B$8,Nutrients!$BS$8,Nutrients!$BS$9)*AB$6)+(((IF($A$7=Nutrients!$B$79,Nutrients!$BS$79,(IF($A$7=Nutrients!$B$77,Nutrients!$BS$77,Nutrients!$BS$78)))))*AB$7))/2000</f>
        <v>0.50935411811055764</v>
      </c>
      <c r="AC256" s="58">
        <f>(SUMPRODUCT(AC$8:AC$217,Nutrients!$BS$8:$BS$217)+(IF($A$6=Nutrients!$B$8,Nutrients!$BS$8,Nutrients!$BS$9)*AC$6)+(((IF($A$7=Nutrients!$B$79,Nutrients!$BS$79,(IF($A$7=Nutrients!$B$77,Nutrients!$BS$77,Nutrients!$BS$78)))))*AC$7))/2000</f>
        <v>0.50821441818404511</v>
      </c>
      <c r="AD256" s="437"/>
      <c r="AE256" s="58">
        <f>(SUMPRODUCT(AE$8:AE$217,Nutrients!$BS$8:$BS$217)+(IF($A$6=Nutrients!$B$8,Nutrients!$BS$8,Nutrients!$BS$9)*AE$6)+(((IF($A$7=Nutrients!$B$79,Nutrients!$BS$79,(IF($A$7=Nutrients!$B$77,Nutrients!$BS$77,Nutrients!$BS$78)))))*AE$7))/2000</f>
        <v>0.49559123417979911</v>
      </c>
      <c r="AF256" s="58">
        <f>(SUMPRODUCT(AF$8:AF$217,Nutrients!$BS$8:$BS$217)+(IF($A$6=Nutrients!$B$8,Nutrients!$BS$8,Nutrients!$BS$9)*AF$6)+(((IF($A$7=Nutrients!$B$79,Nutrients!$BS$79,(IF($A$7=Nutrients!$B$77,Nutrients!$BS$77,Nutrients!$BS$78)))))*AF$7))/2000</f>
        <v>0.49667316615497675</v>
      </c>
      <c r="AG256" s="58">
        <f>(SUMPRODUCT(AG$8:AG$217,Nutrients!$BS$8:$BS$217)+(IF($A$6=Nutrients!$B$8,Nutrients!$BS$8,Nutrients!$BS$9)*AG$6)+(((IF($A$7=Nutrients!$B$79,Nutrients!$BS$79,(IF($A$7=Nutrients!$B$77,Nutrients!$BS$77,Nutrients!$BS$78)))))*AG$7))/2000</f>
        <v>0.49775509813015428</v>
      </c>
      <c r="AH256" s="58">
        <f>(SUMPRODUCT(AH$8:AH$217,Nutrients!$BS$8:$BS$217)+(IF($A$6=Nutrients!$B$8,Nutrients!$BS$8,Nutrients!$BS$9)*AH$6)+(((IF($A$7=Nutrients!$B$79,Nutrients!$BS$79,(IF($A$7=Nutrients!$B$77,Nutrients!$BS$77,Nutrients!$BS$78)))))*AH$7))/2000</f>
        <v>0.49883703010533192</v>
      </c>
      <c r="AI256" s="58">
        <f>(SUMPRODUCT(AI$8:AI$217,Nutrients!$BS$8:$BS$217)+(IF($A$6=Nutrients!$B$8,Nutrients!$BS$8,Nutrients!$BS$9)*AI$6)+(((IF($A$7=Nutrients!$B$79,Nutrients!$BS$79,(IF($A$7=Nutrients!$B$77,Nutrients!$BS$77,Nutrients!$BS$78)))))*AI$7))/2000</f>
        <v>0.49991896208050957</v>
      </c>
      <c r="AJ256" s="58">
        <f>(SUMPRODUCT(AJ$8:AJ$217,Nutrients!$BS$8:$BS$217)+(IF($A$6=Nutrients!$B$8,Nutrients!$BS$8,Nutrients!$BS$9)*AJ$6)+(((IF($A$7=Nutrients!$B$79,Nutrients!$BS$79,(IF($A$7=Nutrients!$B$77,Nutrients!$BS$77,Nutrients!$BS$78)))))*AJ$7))/2000</f>
        <v>0.50226651012492862</v>
      </c>
      <c r="AK256" s="19"/>
      <c r="AL256" s="19"/>
    </row>
    <row r="257" spans="1:38" x14ac:dyDescent="0.15">
      <c r="A257" s="108" t="s">
        <v>132</v>
      </c>
      <c r="B257" s="58">
        <f>(SUMPRODUCT(B$8:B$217,Nutrients!$BX$8:$BX$217)+(IF($A$6=Nutrients!$B$8,Nutrients!$BX$8,Nutrients!$BX$9)*B$6)+(((IF($A$7=Nutrients!$B$79,Nutrients!$BX$79,(IF($A$7=Nutrients!$B$77,Nutrients!$BX$77,Nutrients!$BX$78)))))*B$7))/2000</f>
        <v>0.51292810447456505</v>
      </c>
      <c r="C257" s="58">
        <f>(SUMPRODUCT(C$8:C$217,Nutrients!$BX$8:$BX$217)+(IF($A$6=Nutrients!$B$8,Nutrients!$BX$8,Nutrients!$BX$9)*C$6)+(((IF($A$7=Nutrients!$B$79,Nutrients!$BX$79,(IF($A$7=Nutrients!$B$77,Nutrients!$BX$77,Nutrients!$BX$78)))))*C$7))/2000</f>
        <v>0.51254100216379517</v>
      </c>
      <c r="D257" s="58">
        <f>(SUMPRODUCT(D$8:D$217,Nutrients!$BX$8:$BX$217)+(IF($A$6=Nutrients!$B$8,Nutrients!$BX$8,Nutrients!$BX$9)*D$6)+(((IF($A$7=Nutrients!$B$79,Nutrients!$BX$79,(IF($A$7=Nutrients!$B$77,Nutrients!$BX$77,Nutrients!$BX$78)))))*D$7))/2000</f>
        <v>0.52282179562341802</v>
      </c>
      <c r="E257" s="58">
        <f>(SUMPRODUCT(E$8:E$217,Nutrients!$BX$8:$BX$217)+(IF($A$6=Nutrients!$B$8,Nutrients!$BX$8,Nutrients!$BX$9)*E$6)+(((IF($A$7=Nutrients!$B$79,Nutrients!$BX$79,(IF($A$7=Nutrients!$B$77,Nutrients!$BX$77,Nutrients!$BX$78)))))*E$7))/2000</f>
        <v>0.52240279149995927</v>
      </c>
      <c r="F257" s="58">
        <f>(SUMPRODUCT(F$8:F$217,Nutrients!$BX$8:$BX$217)+(IF($A$6=Nutrients!$B$8,Nutrients!$BX$8,Nutrients!$BX$9)*F$6)+(((IF($A$7=Nutrients!$B$79,Nutrients!$BX$79,(IF($A$7=Nutrients!$B$77,Nutrients!$BX$77,Nutrients!$BX$78)))))*F$7))/2000</f>
        <v>0.5326609837511227</v>
      </c>
      <c r="G257" s="58">
        <f>(SUMPRODUCT(G$8:G$217,Nutrients!$BX$8:$BX$217)+(IF($A$6=Nutrients!$B$8,Nutrients!$BX$8,Nutrients!$BX$9)*G$6)+(((IF($A$7=Nutrients!$B$79,Nutrients!$BX$79,(IF($A$7=Nutrients!$B$77,Nutrients!$BX$77,Nutrients!$BX$78)))))*G$7))/2000</f>
        <v>0.53236628627418958</v>
      </c>
      <c r="H257" s="437"/>
      <c r="I257" s="58">
        <f>(SUMPRODUCT(I$8:I$217,Nutrients!$BX$8:$BX$217)+(IF($A$6=Nutrients!$B$8,Nutrients!$BX$8,Nutrients!$BX$9)*I$6)+(((IF($A$7=Nutrients!$B$79,Nutrients!$BX$79,(IF($A$7=Nutrients!$B$77,Nutrients!$BX$77,Nutrients!$BX$78)))))*I$7))/2000</f>
        <v>0.51610758744998786</v>
      </c>
      <c r="J257" s="58">
        <f>(SUMPRODUCT(J$8:J$217,Nutrients!$BX$8:$BX$217)+(IF($A$6=Nutrients!$B$8,Nutrients!$BX$8,Nutrients!$BX$9)*J$6)+(((IF($A$7=Nutrients!$B$79,Nutrients!$BX$79,(IF($A$7=Nutrients!$B$77,Nutrients!$BX$77,Nutrients!$BX$78)))))*J$7))/2000</f>
        <v>0.52110694175716499</v>
      </c>
      <c r="K257" s="58">
        <f>(SUMPRODUCT(K$8:K$217,Nutrients!$BX$8:$BX$217)+(IF($A$6=Nutrients!$B$8,Nutrients!$BX$8,Nutrients!$BX$9)*K$6)+(((IF($A$7=Nutrients!$B$79,Nutrients!$BX$79,(IF($A$7=Nutrients!$B$77,Nutrients!$BX$77,Nutrients!$BX$78)))))*K$7))/2000</f>
        <v>0.52597268881358694</v>
      </c>
      <c r="L257" s="58">
        <f>(SUMPRODUCT(L$8:L$217,Nutrients!$BX$8:$BX$217)+(IF($A$6=Nutrients!$B$8,Nutrients!$BX$8,Nutrients!$BX$9)*L$6)+(((IF($A$7=Nutrients!$B$79,Nutrients!$BX$79,(IF($A$7=Nutrients!$B$77,Nutrients!$BX$77,Nutrients!$BX$78)))))*L$7))/2000</f>
        <v>0.5302388917775781</v>
      </c>
      <c r="M257" s="58">
        <f>(SUMPRODUCT(M$8:M$217,Nutrients!$BX$8:$BX$217)+(IF($A$6=Nutrients!$B$8,Nutrients!$BX$8,Nutrients!$BX$9)*M$6)+(((IF($A$7=Nutrients!$B$79,Nutrients!$BX$79,(IF($A$7=Nutrients!$B$77,Nutrients!$BX$77,Nutrients!$BX$78)))))*M$7))/2000</f>
        <v>0.53510463883400028</v>
      </c>
      <c r="N257" s="58">
        <f>(SUMPRODUCT(N$8:N$217,Nutrients!$BX$8:$BX$217)+(IF($A$6=Nutrients!$B$8,Nutrients!$BX$8,Nutrients!$BX$9)*N$6)+(((IF($A$7=Nutrients!$B$79,Nutrients!$BX$79,(IF($A$7=Nutrients!$B$77,Nutrients!$BX$77,Nutrients!$BX$78)))))*N$7))/2000</f>
        <v>0.54008339193271815</v>
      </c>
      <c r="O257" s="437"/>
      <c r="P257" s="58">
        <f>(SUMPRODUCT(P$8:P$217,Nutrients!$BX$8:$BX$217)+(IF($A$6=Nutrients!$B$8,Nutrients!$BX$8,Nutrients!$BX$9)*P$6)+(((IF($A$7=Nutrients!$B$79,Nutrients!$BX$79,(IF($A$7=Nutrients!$B$77,Nutrients!$BX$77,Nutrients!$BX$78)))))*P$7))/2000</f>
        <v>0.43328554632154809</v>
      </c>
      <c r="Q257" s="58">
        <f>(SUMPRODUCT(Q$8:Q$217,Nutrients!$BX$8:$BX$217)+(IF($A$6=Nutrients!$B$8,Nutrients!$BX$8,Nutrients!$BX$9)*Q$6)+(((IF($A$7=Nutrients!$B$79,Nutrients!$BX$79,(IF($A$7=Nutrients!$B$77,Nutrients!$BX$77,Nutrients!$BX$78)))))*Q$7))/2000</f>
        <v>0.43803038402057654</v>
      </c>
      <c r="R257" s="58">
        <f>(SUMPRODUCT(R$8:R$217,Nutrients!$BX$8:$BX$217)+(IF($A$6=Nutrients!$B$8,Nutrients!$BX$8,Nutrients!$BX$9)*R$6)+(((IF($A$7=Nutrients!$B$79,Nutrients!$BX$79,(IF($A$7=Nutrients!$B$77,Nutrients!$BX$77,Nutrients!$BX$78)))))*R$7))/2000</f>
        <v>0.44338606641626516</v>
      </c>
      <c r="S257" s="58">
        <f>(SUMPRODUCT(S$8:S$217,Nutrients!$BX$8:$BX$217)+(IF($A$6=Nutrients!$B$8,Nutrients!$BX$8,Nutrients!$BX$9)*S$6)+(((IF($A$7=Nutrients!$B$79,Nutrients!$BX$79,(IF($A$7=Nutrients!$B$77,Nutrients!$BX$77,Nutrients!$BX$78)))))*S$7))/2000</f>
        <v>0.44813090411529355</v>
      </c>
      <c r="T257" s="58">
        <f>(SUMPRODUCT(T$8:T$217,Nutrients!$BX$8:$BX$217)+(IF($A$6=Nutrients!$B$8,Nutrients!$BX$8,Nutrients!$BX$9)*T$6)+(((IF($A$7=Nutrients!$B$79,Nutrients!$BX$79,(IF($A$7=Nutrients!$B$77,Nutrients!$BX$77,Nutrients!$BX$78)))))*T$7))/2000</f>
        <v>0.45288704241855149</v>
      </c>
      <c r="U257" s="58">
        <f>(SUMPRODUCT(U$8:U$217,Nutrients!$BX$8:$BX$217)+(IF($A$6=Nutrients!$B$8,Nutrients!$BX$8,Nutrients!$BX$9)*U$6)+(((IF($A$7=Nutrients!$B$79,Nutrients!$BX$79,(IF($A$7=Nutrients!$B$77,Nutrients!$BX$77,Nutrients!$BX$78)))))*U$7))/2000</f>
        <v>0.45366263929942025</v>
      </c>
      <c r="V257" s="437"/>
      <c r="W257" s="58">
        <f>(SUMPRODUCT(W$8:W$217,Nutrients!$BX$8:$BX$217)+(IF($A$6=Nutrients!$B$8,Nutrients!$BX$8,Nutrients!$BX$9)*W$6)+(((IF($A$7=Nutrients!$B$79,Nutrients!$BX$79,(IF($A$7=Nutrients!$B$77,Nutrients!$BX$77,Nutrients!$BX$78)))))*W$7))/2000</f>
        <v>0.42854070862251981</v>
      </c>
      <c r="X257" s="58">
        <f>(SUMPRODUCT(X$8:X$217,Nutrients!$BX$8:$BX$217)+(IF($A$6=Nutrients!$B$8,Nutrients!$BX$8,Nutrients!$BX$9)*X$6)+(((IF($A$7=Nutrients!$B$79,Nutrients!$BX$79,(IF($A$7=Nutrients!$B$77,Nutrients!$BX$77,Nutrients!$BX$78)))))*X$7))/2000</f>
        <v>0.43328554632154809</v>
      </c>
      <c r="Y257" s="58">
        <f>(SUMPRODUCT(Y$8:Y$217,Nutrients!$BX$8:$BX$217)+(IF($A$6=Nutrients!$B$8,Nutrients!$BX$8,Nutrients!$BX$9)*Y$6)+(((IF($A$7=Nutrients!$B$79,Nutrients!$BX$79,(IF($A$7=Nutrients!$B$77,Nutrients!$BX$77,Nutrients!$BX$78)))))*Y$7))/2000</f>
        <v>0.43803038402057654</v>
      </c>
      <c r="Z257" s="58">
        <f>(SUMPRODUCT(Z$8:Z$217,Nutrients!$BX$8:$BX$217)+(IF($A$6=Nutrients!$B$8,Nutrients!$BX$8,Nutrients!$BX$9)*Z$6)+(((IF($A$7=Nutrients!$B$79,Nutrients!$BX$79,(IF($A$7=Nutrients!$B$77,Nutrients!$BX$77,Nutrients!$BX$78)))))*Z$7))/2000</f>
        <v>0.44338606641626516</v>
      </c>
      <c r="AA257" s="58">
        <f>(SUMPRODUCT(AA$8:AA$217,Nutrients!$BX$8:$BX$217)+(IF($A$6=Nutrients!$B$8,Nutrients!$BX$8,Nutrients!$BX$9)*AA$6)+(((IF($A$7=Nutrients!$B$79,Nutrients!$BX$79,(IF($A$7=Nutrients!$B$77,Nutrients!$BX$77,Nutrients!$BX$78)))))*AA$7))/2000</f>
        <v>0.44813090411529355</v>
      </c>
      <c r="AB257" s="58">
        <f>(SUMPRODUCT(AB$8:AB$217,Nutrients!$BX$8:$BX$217)+(IF($A$6=Nutrients!$B$8,Nutrients!$BX$8,Nutrients!$BX$9)*AB$6)+(((IF($A$7=Nutrients!$B$79,Nutrients!$BX$79,(IF($A$7=Nutrients!$B$77,Nutrients!$BX$77,Nutrients!$BX$78)))))*AB$7))/2000</f>
        <v>0.45288704241855149</v>
      </c>
      <c r="AC257" s="58">
        <f>(SUMPRODUCT(AC$8:AC$217,Nutrients!$BX$8:$BX$217)+(IF($A$6=Nutrients!$B$8,Nutrients!$BX$8,Nutrients!$BX$9)*AC$6)+(((IF($A$7=Nutrients!$B$79,Nutrients!$BX$79,(IF($A$7=Nutrients!$B$77,Nutrients!$BX$77,Nutrients!$BX$78)))))*AC$7))/2000</f>
        <v>0.45366263929942025</v>
      </c>
      <c r="AD257" s="437"/>
      <c r="AE257" s="58">
        <f>(SUMPRODUCT(AE$8:AE$217,Nutrients!$BX$8:$BX$217)+(IF($A$6=Nutrients!$B$8,Nutrients!$BX$8,Nutrients!$BX$9)*AE$6)+(((IF($A$7=Nutrients!$B$79,Nutrients!$BX$79,(IF($A$7=Nutrients!$B$77,Nutrients!$BX$77,Nutrients!$BX$78)))))*AE$7))/2000</f>
        <v>0.41788372703519222</v>
      </c>
      <c r="AF257" s="58">
        <f>(SUMPRODUCT(AF$8:AF$217,Nutrients!$BX$8:$BX$217)+(IF($A$6=Nutrients!$B$8,Nutrients!$BX$8,Nutrients!$BX$9)*AF$6)+(((IF($A$7=Nutrients!$B$79,Nutrients!$BX$79,(IF($A$7=Nutrients!$B$77,Nutrients!$BX$77,Nutrients!$BX$78)))))*AF$7))/2000</f>
        <v>0.41948064764432103</v>
      </c>
      <c r="AG257" s="58">
        <f>(SUMPRODUCT(AG$8:AG$217,Nutrients!$BX$8:$BX$217)+(IF($A$6=Nutrients!$B$8,Nutrients!$BX$8,Nutrients!$BX$9)*AG$6)+(((IF($A$7=Nutrients!$B$79,Nutrients!$BX$79,(IF($A$7=Nutrients!$B$77,Nutrients!$BX$77,Nutrients!$BX$78)))))*AG$7))/2000</f>
        <v>0.42107756825344989</v>
      </c>
      <c r="AH257" s="58">
        <f>(SUMPRODUCT(AH$8:AH$217,Nutrients!$BX$8:$BX$217)+(IF($A$6=Nutrients!$B$8,Nutrients!$BX$8,Nutrients!$BX$9)*AH$6)+(((IF($A$7=Nutrients!$B$79,Nutrients!$BX$79,(IF($A$7=Nutrients!$B$77,Nutrients!$BX$77,Nutrients!$BX$78)))))*AH$7))/2000</f>
        <v>0.42267448886257852</v>
      </c>
      <c r="AI257" s="58">
        <f>(SUMPRODUCT(AI$8:AI$217,Nutrients!$BX$8:$BX$217)+(IF($A$6=Nutrients!$B$8,Nutrients!$BX$8,Nutrients!$BX$9)*AI$6)+(((IF($A$7=Nutrients!$B$79,Nutrients!$BX$79,(IF($A$7=Nutrients!$B$77,Nutrients!$BX$77,Nutrients!$BX$78)))))*AI$7))/2000</f>
        <v>0.42427140947170738</v>
      </c>
      <c r="AJ257" s="58">
        <f>(SUMPRODUCT(AJ$8:AJ$217,Nutrients!$BX$8:$BX$217)+(IF($A$6=Nutrients!$B$8,Nutrients!$BX$8,Nutrients!$BX$9)*AJ$6)+(((IF($A$7=Nutrients!$B$79,Nutrients!$BX$79,(IF($A$7=Nutrients!$B$77,Nutrients!$BX$77,Nutrients!$BX$78)))))*AJ$7))/2000</f>
        <v>0.42770551469747703</v>
      </c>
      <c r="AK257" s="19"/>
      <c r="AL257" s="19"/>
    </row>
    <row r="258" spans="1:38" x14ac:dyDescent="0.15">
      <c r="A258" s="109" t="s">
        <v>143</v>
      </c>
      <c r="B258" s="58">
        <f>(SUMPRODUCT(B$8:B$217,Nutrients!$EB$8:$EB$217)+(IF($A$6=Nutrients!$B$8,Nutrients!$EB$8,Nutrients!$EB$9)*B$6)+(((IF($A$7=Nutrients!$B$79,Nutrients!$EB$79,(IF($A$7=Nutrients!$B$77,Nutrients!$EB$77,Nutrients!$EB$78)))))*B$7))/2000</f>
        <v>0.21757560746182739</v>
      </c>
      <c r="C258" s="58">
        <f>(SUMPRODUCT(C$8:C$217,Nutrients!$EB$8:$EB$217)+(IF($A$6=Nutrients!$B$8,Nutrients!$EB$8,Nutrients!$EB$9)*C$6)+(((IF($A$7=Nutrients!$B$79,Nutrients!$EB$79,(IF($A$7=Nutrients!$B$77,Nutrients!$EB$77,Nutrients!$EB$78)))))*C$7))/2000</f>
        <v>0.20987403661019027</v>
      </c>
      <c r="D258" s="58">
        <f>(SUMPRODUCT(D$8:D$217,Nutrients!$EB$8:$EB$217)+(IF($A$6=Nutrients!$B$8,Nutrients!$EB$8,Nutrients!$EB$9)*D$6)+(((IF($A$7=Nutrients!$B$79,Nutrients!$EB$79,(IF($A$7=Nutrients!$B$77,Nutrients!$EB$77,Nutrients!$EB$78)))))*D$7))/2000</f>
        <v>0.21291308036580386</v>
      </c>
      <c r="E258" s="58">
        <f>(SUMPRODUCT(E$8:E$217,Nutrients!$EB$8:$EB$217)+(IF($A$6=Nutrients!$B$8,Nutrients!$EB$8,Nutrients!$EB$9)*E$6)+(((IF($A$7=Nutrients!$B$79,Nutrients!$EB$79,(IF($A$7=Nutrients!$B$77,Nutrients!$EB$77,Nutrients!$EB$78)))))*E$7))/2000</f>
        <v>0.20520748720298848</v>
      </c>
      <c r="F258" s="58">
        <f>(SUMPRODUCT(F$8:F$217,Nutrients!$EB$8:$EB$217)+(IF($A$6=Nutrients!$B$8,Nutrients!$EB$8,Nutrients!$EB$9)*F$6)+(((IF($A$7=Nutrients!$B$79,Nutrients!$EB$79,(IF($A$7=Nutrients!$B$77,Nutrients!$EB$77,Nutrients!$EB$78)))))*F$7))/2000</f>
        <v>0.2082438494178166</v>
      </c>
      <c r="G258" s="58">
        <f>(SUMPRODUCT(G$8:G$217,Nutrients!$EB$8:$EB$217)+(IF($A$6=Nutrients!$B$8,Nutrients!$EB$8,Nutrients!$EB$9)*G$6)+(((IF($A$7=Nutrients!$B$79,Nutrients!$EB$79,(IF($A$7=Nutrients!$B$77,Nutrients!$EB$77,Nutrients!$EB$78)))))*G$7))/2000</f>
        <v>0.20055300472932147</v>
      </c>
      <c r="H258" s="437"/>
      <c r="I258" s="58">
        <f>(SUMPRODUCT(I$8:I$217,Nutrients!$EB$8:$EB$217)+(IF($A$6=Nutrients!$B$8,Nutrients!$EB$8,Nutrients!$EB$9)*I$6)+(((IF($A$7=Nutrients!$B$79,Nutrients!$EB$79,(IF($A$7=Nutrients!$B$77,Nutrients!$EB$77,Nutrients!$EB$78)))))*I$7))/2000</f>
        <v>0.24925761366089658</v>
      </c>
      <c r="J258" s="58">
        <f>(SUMPRODUCT(J$8:J$217,Nutrients!$EB$8:$EB$217)+(IF($A$6=Nutrients!$B$8,Nutrients!$EB$8,Nutrients!$EB$9)*J$6)+(((IF($A$7=Nutrients!$B$79,Nutrients!$EB$79,(IF($A$7=Nutrients!$B$77,Nutrients!$EB$77,Nutrients!$EB$78)))))*J$7))/2000</f>
        <v>0.24443588237552055</v>
      </c>
      <c r="K258" s="58">
        <f>(SUMPRODUCT(K$8:K$217,Nutrients!$EB$8:$EB$217)+(IF($A$6=Nutrients!$B$8,Nutrients!$EB$8,Nutrients!$EB$9)*K$6)+(((IF($A$7=Nutrients!$B$79,Nutrients!$EB$79,(IF($A$7=Nutrients!$B$77,Nutrients!$EB$77,Nutrients!$EB$78)))))*K$7))/2000</f>
        <v>0.2395980618454315</v>
      </c>
      <c r="L258" s="58">
        <f>(SUMPRODUCT(L$8:L$217,Nutrients!$EB$8:$EB$217)+(IF($A$6=Nutrients!$B$8,Nutrients!$EB$8,Nutrients!$EB$9)*L$6)+(((IF($A$7=Nutrients!$B$79,Nutrients!$EB$79,(IF($A$7=Nutrients!$B$77,Nutrients!$EB$77,Nutrients!$EB$78)))))*L$7))/2000</f>
        <v>0.23457086388127704</v>
      </c>
      <c r="M258" s="58">
        <f>(SUMPRODUCT(M$8:M$217,Nutrients!$EB$8:$EB$217)+(IF($A$6=Nutrients!$B$8,Nutrients!$EB$8,Nutrients!$EB$9)*M$6)+(((IF($A$7=Nutrients!$B$79,Nutrients!$EB$79,(IF($A$7=Nutrients!$B$77,Nutrients!$EB$77,Nutrients!$EB$78)))))*M$7))/2000</f>
        <v>0.22973304335118808</v>
      </c>
      <c r="N258" s="58">
        <f>(SUMPRODUCT(N$8:N$217,Nutrients!$EB$8:$EB$217)+(IF($A$6=Nutrients!$B$8,Nutrients!$EB$8,Nutrients!$EB$9)*N$6)+(((IF($A$7=Nutrients!$B$79,Nutrients!$EB$79,(IF($A$7=Nutrients!$B$77,Nutrients!$EB$77,Nutrients!$EB$78)))))*N$7))/2000</f>
        <v>0.22490863052502652</v>
      </c>
      <c r="O258" s="437"/>
      <c r="P258" s="58">
        <f>(SUMPRODUCT(P$8:P$217,Nutrients!$EB$8:$EB$217)+(IF($A$6=Nutrients!$B$8,Nutrients!$EB$8,Nutrients!$EB$9)*P$6)+(((IF($A$7=Nutrients!$B$79,Nutrients!$EB$79,(IF($A$7=Nutrients!$B$77,Nutrients!$EB$77,Nutrients!$EB$78)))))*P$7))/2000</f>
        <v>0.17536007526267655</v>
      </c>
      <c r="Q258" s="58">
        <f>(SUMPRODUCT(Q$8:Q$217,Nutrients!$EB$8:$EB$217)+(IF($A$6=Nutrients!$B$8,Nutrients!$EB$8,Nutrients!$EB$9)*Q$6)+(((IF($A$7=Nutrients!$B$79,Nutrients!$EB$79,(IF($A$7=Nutrients!$B$77,Nutrients!$EB$77,Nutrients!$EB$78)))))*Q$7))/2000</f>
        <v>0.17281367669380257</v>
      </c>
      <c r="R258" s="58">
        <f>(SUMPRODUCT(R$8:R$217,Nutrients!$EB$8:$EB$217)+(IF($A$6=Nutrients!$B$8,Nutrients!$EB$8,Nutrients!$EB$9)*R$6)+(((IF($A$7=Nutrients!$B$79,Nutrients!$EB$79,(IF($A$7=Nutrients!$B$77,Nutrients!$EB$77,Nutrients!$EB$78)))))*R$7))/2000</f>
        <v>0.1704579963293868</v>
      </c>
      <c r="S258" s="58">
        <f>(SUMPRODUCT(S$8:S$217,Nutrients!$EB$8:$EB$217)+(IF($A$6=Nutrients!$B$8,Nutrients!$EB$8,Nutrients!$EB$9)*S$6)+(((IF($A$7=Nutrients!$B$79,Nutrients!$EB$79,(IF($A$7=Nutrients!$B$77,Nutrients!$EB$77,Nutrients!$EB$78)))))*S$7))/2000</f>
        <v>0.16791159776051279</v>
      </c>
      <c r="T258" s="58">
        <f>(SUMPRODUCT(T$8:T$217,Nutrients!$EB$8:$EB$217)+(IF($A$6=Nutrients!$B$8,Nutrients!$EB$8,Nutrients!$EB$9)*T$6)+(((IF($A$7=Nutrients!$B$79,Nutrients!$EB$79,(IF($A$7=Nutrients!$B$77,Nutrients!$EB$77,Nutrients!$EB$78)))))*T$7))/2000</f>
        <v>0.16536653996203154</v>
      </c>
      <c r="U258" s="58">
        <f>(SUMPRODUCT(U$8:U$217,Nutrients!$EB$8:$EB$217)+(IF($A$6=Nutrients!$B$8,Nutrients!$EB$8,Nutrients!$EB$9)*U$6)+(((IF($A$7=Nutrients!$B$79,Nutrients!$EB$79,(IF($A$7=Nutrients!$B$77,Nutrients!$EB$77,Nutrients!$EB$78)))))*U$7))/2000</f>
        <v>0.15784829828243654</v>
      </c>
      <c r="V258" s="437"/>
      <c r="W258" s="58">
        <f>(SUMPRODUCT(W$8:W$217,Nutrients!$EB$8:$EB$217)+(IF($A$6=Nutrients!$B$8,Nutrients!$EB$8,Nutrients!$EB$9)*W$6)+(((IF($A$7=Nutrients!$B$79,Nutrients!$EB$79,(IF($A$7=Nutrients!$B$77,Nutrients!$EB$77,Nutrients!$EB$78)))))*W$7))/2000</f>
        <v>0.17790647383155059</v>
      </c>
      <c r="X258" s="58">
        <f>(SUMPRODUCT(X$8:X$217,Nutrients!$EB$8:$EB$217)+(IF($A$6=Nutrients!$B$8,Nutrients!$EB$8,Nutrients!$EB$9)*X$6)+(((IF($A$7=Nutrients!$B$79,Nutrients!$EB$79,(IF($A$7=Nutrients!$B$77,Nutrients!$EB$77,Nutrients!$EB$78)))))*X$7))/2000</f>
        <v>0.17536007526267655</v>
      </c>
      <c r="Y258" s="58">
        <f>(SUMPRODUCT(Y$8:Y$217,Nutrients!$EB$8:$EB$217)+(IF($A$6=Nutrients!$B$8,Nutrients!$EB$8,Nutrients!$EB$9)*Y$6)+(((IF($A$7=Nutrients!$B$79,Nutrients!$EB$79,(IF($A$7=Nutrients!$B$77,Nutrients!$EB$77,Nutrients!$EB$78)))))*Y$7))/2000</f>
        <v>0.17281367669380257</v>
      </c>
      <c r="Z258" s="58">
        <f>(SUMPRODUCT(Z$8:Z$217,Nutrients!$EB$8:$EB$217)+(IF($A$6=Nutrients!$B$8,Nutrients!$EB$8,Nutrients!$EB$9)*Z$6)+(((IF($A$7=Nutrients!$B$79,Nutrients!$EB$79,(IF($A$7=Nutrients!$B$77,Nutrients!$EB$77,Nutrients!$EB$78)))))*Z$7))/2000</f>
        <v>0.1704579963293868</v>
      </c>
      <c r="AA258" s="58">
        <f>(SUMPRODUCT(AA$8:AA$217,Nutrients!$EB$8:$EB$217)+(IF($A$6=Nutrients!$B$8,Nutrients!$EB$8,Nutrients!$EB$9)*AA$6)+(((IF($A$7=Nutrients!$B$79,Nutrients!$EB$79,(IF($A$7=Nutrients!$B$77,Nutrients!$EB$77,Nutrients!$EB$78)))))*AA$7))/2000</f>
        <v>0.16791159776051279</v>
      </c>
      <c r="AB258" s="58">
        <f>(SUMPRODUCT(AB$8:AB$217,Nutrients!$EB$8:$EB$217)+(IF($A$6=Nutrients!$B$8,Nutrients!$EB$8,Nutrients!$EB$9)*AB$6)+(((IF($A$7=Nutrients!$B$79,Nutrients!$EB$79,(IF($A$7=Nutrients!$B$77,Nutrients!$EB$77,Nutrients!$EB$78)))))*AB$7))/2000</f>
        <v>0.16536653996203154</v>
      </c>
      <c r="AC258" s="58">
        <f>(SUMPRODUCT(AC$8:AC$217,Nutrients!$EB$8:$EB$217)+(IF($A$6=Nutrients!$B$8,Nutrients!$EB$8,Nutrients!$EB$9)*AC$6)+(((IF($A$7=Nutrients!$B$79,Nutrients!$EB$79,(IF($A$7=Nutrients!$B$77,Nutrients!$EB$77,Nutrients!$EB$78)))))*AC$7))/2000</f>
        <v>0.15784829828243654</v>
      </c>
      <c r="AD258" s="437"/>
      <c r="AE258" s="58">
        <f>(SUMPRODUCT(AE$8:AE$217,Nutrients!$EB$8:$EB$217)+(IF($A$6=Nutrients!$B$8,Nutrients!$EB$8,Nutrients!$EB$9)*AE$6)+(((IF($A$7=Nutrients!$B$79,Nutrients!$EB$79,(IF($A$7=Nutrients!$B$77,Nutrients!$EB$77,Nutrients!$EB$78)))))*AE$7))/2000</f>
        <v>0.16668613102392421</v>
      </c>
      <c r="AF258" s="58">
        <f>(SUMPRODUCT(AF$8:AF$217,Nutrients!$EB$8:$EB$217)+(IF($A$6=Nutrients!$B$8,Nutrients!$EB$8,Nutrients!$EB$9)*AF$6)+(((IF($A$7=Nutrients!$B$79,Nutrients!$EB$79,(IF($A$7=Nutrients!$B$77,Nutrients!$EB$77,Nutrients!$EB$78)))))*AF$7))/2000</f>
        <v>0.16566254143569856</v>
      </c>
      <c r="AG258" s="58">
        <f>(SUMPRODUCT(AG$8:AG$217,Nutrients!$EB$8:$EB$217)+(IF($A$6=Nutrients!$B$8,Nutrients!$EB$8,Nutrients!$EB$9)*AG$6)+(((IF($A$7=Nutrients!$B$79,Nutrients!$EB$79,(IF($A$7=Nutrients!$B$77,Nutrients!$EB$77,Nutrients!$EB$78)))))*AG$7))/2000</f>
        <v>0.16463895184747288</v>
      </c>
      <c r="AH258" s="58">
        <f>(SUMPRODUCT(AH$8:AH$217,Nutrients!$EB$8:$EB$217)+(IF($A$6=Nutrients!$B$8,Nutrients!$EB$8,Nutrients!$EB$9)*AH$6)+(((IF($A$7=Nutrients!$B$79,Nutrients!$EB$79,(IF($A$7=Nutrients!$B$77,Nutrients!$EB$77,Nutrients!$EB$78)))))*AH$7))/2000</f>
        <v>0.16361536225924714</v>
      </c>
      <c r="AI258" s="58">
        <f>(SUMPRODUCT(AI$8:AI$217,Nutrients!$EB$8:$EB$217)+(IF($A$6=Nutrients!$B$8,Nutrients!$EB$8,Nutrients!$EB$9)*AI$6)+(((IF($A$7=Nutrients!$B$79,Nutrients!$EB$79,(IF($A$7=Nutrients!$B$77,Nutrients!$EB$77,Nutrients!$EB$78)))))*AI$7))/2000</f>
        <v>0.16259177267102148</v>
      </c>
      <c r="AJ258" s="58">
        <f>(SUMPRODUCT(AJ$8:AJ$217,Nutrients!$EB$8:$EB$217)+(IF($A$6=Nutrients!$B$8,Nutrients!$EB$8,Nutrients!$EB$9)*AJ$6)+(((IF($A$7=Nutrients!$B$79,Nutrients!$EB$79,(IF($A$7=Nutrients!$B$77,Nutrients!$EB$77,Nutrients!$EB$78)))))*AJ$7))/2000</f>
        <v>0.16208626914468852</v>
      </c>
      <c r="AK258" s="19"/>
      <c r="AL258" s="19"/>
    </row>
    <row r="259" spans="1:38" x14ac:dyDescent="0.15">
      <c r="A259" s="109" t="s">
        <v>133</v>
      </c>
      <c r="B259" s="58">
        <f>IF((SUMPRODUCT(B$8:B$217,Nutrients!$EE$8:$EE$217))=0,B258,IF((SUMPRODUCT(B$8:B$217,Nutrients!$EE$8:$EE$217))&gt;(1500*907),B258+0.14,B258+0.00000000006666*((SUMPRODUCT(B$8:B$217,Nutrients!$EE$8:$EE$217)/907))^3-0.00000023623322*((SUMPRODUCT(B$8:B$217,Nutrients!$EE$8:$EE$217)/907))^2+0.00029262722672*((SUMPRODUCT(B$8:B$217,Nutrients!$EE$8:$EE$217)/907))+0.007028328))</f>
        <v>0.35146887511182745</v>
      </c>
      <c r="C259" s="58">
        <f>IF((SUMPRODUCT(C$8:C$217,Nutrients!$EE$8:$EE$217))=0,C258,IF((SUMPRODUCT(C$8:C$217,Nutrients!$EE$8:$EE$217))&gt;(1500*907),C258+0.14,C258+0.00000000006666*((SUMPRODUCT(C$8:C$217,Nutrients!$EE$8:$EE$217)/907))^3-0.00000023623322*((SUMPRODUCT(C$8:C$217,Nutrients!$EE$8:$EE$217)/907))^2+0.00029262722672*((SUMPRODUCT(C$8:C$217,Nutrients!$EE$8:$EE$217)/907))+0.007028328))</f>
        <v>0.34376730426019031</v>
      </c>
      <c r="D259" s="58">
        <f>IF((SUMPRODUCT(D$8:D$217,Nutrients!$EE$8:$EE$217))=0,D258,IF((SUMPRODUCT(D$8:D$217,Nutrients!$EE$8:$EE$217))&gt;(1500*907),D258+0.14,D258+0.00000000006666*((SUMPRODUCT(D$8:D$217,Nutrients!$EE$8:$EE$217)/907))^3-0.00000023623322*((SUMPRODUCT(D$8:D$217,Nutrients!$EE$8:$EE$217)/907))^2+0.00029262722672*((SUMPRODUCT(D$8:D$217,Nutrients!$EE$8:$EE$217)/907))+0.007028328))</f>
        <v>0.3468063480158039</v>
      </c>
      <c r="E259" s="58">
        <f>IF((SUMPRODUCT(E$8:E$217,Nutrients!$EE$8:$EE$217))=0,E258,IF((SUMPRODUCT(E$8:E$217,Nutrients!$EE$8:$EE$217))&gt;(1500*907),E258+0.14,E258+0.00000000006666*((SUMPRODUCT(E$8:E$217,Nutrients!$EE$8:$EE$217)/907))^3-0.00000023623322*((SUMPRODUCT(E$8:E$217,Nutrients!$EE$8:$EE$217)/907))^2+0.00029262722672*((SUMPRODUCT(E$8:E$217,Nutrients!$EE$8:$EE$217)/907))+0.007028328))</f>
        <v>0.33910075485298852</v>
      </c>
      <c r="F259" s="58">
        <f>IF((SUMPRODUCT(F$8:F$217,Nutrients!$EE$8:$EE$217))=0,F258,IF((SUMPRODUCT(F$8:F$217,Nutrients!$EE$8:$EE$217))&gt;(1500*907),F258+0.14,F258+0.00000000006666*((SUMPRODUCT(F$8:F$217,Nutrients!$EE$8:$EE$217)/907))^3-0.00000023623322*((SUMPRODUCT(F$8:F$217,Nutrients!$EE$8:$EE$217)/907))^2+0.00029262722672*((SUMPRODUCT(F$8:F$217,Nutrients!$EE$8:$EE$217)/907))+0.007028328))</f>
        <v>0.34213711706781669</v>
      </c>
      <c r="G259" s="58">
        <f>IF((SUMPRODUCT(G$8:G$217,Nutrients!$EE$8:$EE$217))=0,G258,IF((SUMPRODUCT(G$8:G$217,Nutrients!$EE$8:$EE$217))&gt;(1500*907),G258+0.14,G258+0.00000000006666*((SUMPRODUCT(G$8:G$217,Nutrients!$EE$8:$EE$217)/907))^3-0.00000023623322*((SUMPRODUCT(G$8:G$217,Nutrients!$EE$8:$EE$217)/907))^2+0.00029262722672*((SUMPRODUCT(G$8:G$217,Nutrients!$EE$8:$EE$217)/907))+0.007028328))</f>
        <v>0.33444627237932156</v>
      </c>
      <c r="H259" s="437"/>
      <c r="I259" s="58">
        <f>IF((SUMPRODUCT(I$8:I$217,Nutrients!$EE$8:$EE$217))=0,I258,IF((SUMPRODUCT(I$8:I$217,Nutrients!$EE$8:$EE$217))&gt;(1500*907),I258+0.14,I258+0.00000000006666*((SUMPRODUCT(I$8:I$217,Nutrients!$EE$8:$EE$217)/907))^3-0.00000023623322*((SUMPRODUCT(I$8:I$217,Nutrients!$EE$8:$EE$217)/907))^2+0.00029262722672*((SUMPRODUCT(I$8:I$217,Nutrients!$EE$8:$EE$217)/907))+0.007028328))</f>
        <v>0.37099736295089647</v>
      </c>
      <c r="J259" s="58">
        <f>IF((SUMPRODUCT(J$8:J$217,Nutrients!$EE$8:$EE$217))=0,J258,IF((SUMPRODUCT(J$8:J$217,Nutrients!$EE$8:$EE$217))&gt;(1500*907),J258+0.14,J258+0.00000000006666*((SUMPRODUCT(J$8:J$217,Nutrients!$EE$8:$EE$217)/907))^3-0.00000023623322*((SUMPRODUCT(J$8:J$217,Nutrients!$EE$8:$EE$217)/907))^2+0.00029262722672*((SUMPRODUCT(J$8:J$217,Nutrients!$EE$8:$EE$217)/907))+0.007028328))</f>
        <v>0.36617563166552047</v>
      </c>
      <c r="K259" s="58">
        <f>IF((SUMPRODUCT(K$8:K$217,Nutrients!$EE$8:$EE$217))=0,K258,IF((SUMPRODUCT(K$8:K$217,Nutrients!$EE$8:$EE$217))&gt;(1500*907),K258+0.14,K258+0.00000000006666*((SUMPRODUCT(K$8:K$217,Nutrients!$EE$8:$EE$217)/907))^3-0.00000023623322*((SUMPRODUCT(K$8:K$217,Nutrients!$EE$8:$EE$217)/907))^2+0.00029262722672*((SUMPRODUCT(K$8:K$217,Nutrients!$EE$8:$EE$217)/907))+0.007028328))</f>
        <v>0.3613378111354314</v>
      </c>
      <c r="L259" s="58">
        <f>IF((SUMPRODUCT(L$8:L$217,Nutrients!$EE$8:$EE$217))=0,L258,IF((SUMPRODUCT(L$8:L$217,Nutrients!$EE$8:$EE$217))&gt;(1500*907),L258+0.14,L258+0.00000000006666*((SUMPRODUCT(L$8:L$217,Nutrients!$EE$8:$EE$217)/907))^3-0.00000023623322*((SUMPRODUCT(L$8:L$217,Nutrients!$EE$8:$EE$217)/907))^2+0.00029262722672*((SUMPRODUCT(L$8:L$217,Nutrients!$EE$8:$EE$217)/907))+0.007028328))</f>
        <v>0.35631061317127699</v>
      </c>
      <c r="M259" s="58">
        <f>IF((SUMPRODUCT(M$8:M$217,Nutrients!$EE$8:$EE$217))=0,M258,IF((SUMPRODUCT(M$8:M$217,Nutrients!$EE$8:$EE$217))&gt;(1500*907),M258+0.14,M258+0.00000000006666*((SUMPRODUCT(M$8:M$217,Nutrients!$EE$8:$EE$217)/907))^3-0.00000023623322*((SUMPRODUCT(M$8:M$217,Nutrients!$EE$8:$EE$217)/907))^2+0.00029262722672*((SUMPRODUCT(M$8:M$217,Nutrients!$EE$8:$EE$217)/907))+0.007028328))</f>
        <v>0.35147279264118803</v>
      </c>
      <c r="N259" s="58">
        <f>IF((SUMPRODUCT(N$8:N$217,Nutrients!$EE$8:$EE$217))=0,N258,IF((SUMPRODUCT(N$8:N$217,Nutrients!$EE$8:$EE$217))&gt;(1500*907),N258+0.14,N258+0.00000000006666*((SUMPRODUCT(N$8:N$217,Nutrients!$EE$8:$EE$217)/907))^3-0.00000023623322*((SUMPRODUCT(N$8:N$217,Nutrients!$EE$8:$EE$217)/907))^2+0.00029262722672*((SUMPRODUCT(N$8:N$217,Nutrients!$EE$8:$EE$217)/907))+0.007028328))</f>
        <v>0.3466483798150265</v>
      </c>
      <c r="O259" s="437"/>
      <c r="P259" s="58">
        <f>IF((SUMPRODUCT(P$8:P$217,Nutrients!$EE$8:$EE$217))=0,P258,IF((SUMPRODUCT(P$8:P$217,Nutrients!$EE$8:$EE$217))&gt;(1500*907),P258+0.14,P258+0.00000000006666*((SUMPRODUCT(P$8:P$217,Nutrients!$EE$8:$EE$217)/907))^3-0.00000023623322*((SUMPRODUCT(P$8:P$217,Nutrients!$EE$8:$EE$217)/907))^2+0.00029262722672*((SUMPRODUCT(P$8:P$217,Nutrients!$EE$8:$EE$217)/907))+0.007028328))</f>
        <v>0.27797621162267649</v>
      </c>
      <c r="Q259" s="58">
        <f>IF((SUMPRODUCT(Q$8:Q$217,Nutrients!$EE$8:$EE$217))=0,Q258,IF((SUMPRODUCT(Q$8:Q$217,Nutrients!$EE$8:$EE$217))&gt;(1500*907),Q258+0.14,Q258+0.00000000006666*((SUMPRODUCT(Q$8:Q$217,Nutrients!$EE$8:$EE$217)/907))^3-0.00000023623322*((SUMPRODUCT(Q$8:Q$217,Nutrients!$EE$8:$EE$217)/907))^2+0.00029262722672*((SUMPRODUCT(Q$8:Q$217,Nutrients!$EE$8:$EE$217)/907))+0.007028328))</f>
        <v>0.27542981305380254</v>
      </c>
      <c r="R259" s="58">
        <f>IF((SUMPRODUCT(R$8:R$217,Nutrients!$EE$8:$EE$217))=0,R258,IF((SUMPRODUCT(R$8:R$217,Nutrients!$EE$8:$EE$217))&gt;(1500*907),R258+0.14,R258+0.00000000006666*((SUMPRODUCT(R$8:R$217,Nutrients!$EE$8:$EE$217)/907))^3-0.00000023623322*((SUMPRODUCT(R$8:R$217,Nutrients!$EE$8:$EE$217)/907))^2+0.00029262722672*((SUMPRODUCT(R$8:R$217,Nutrients!$EE$8:$EE$217)/907))+0.007028328))</f>
        <v>0.27307413268938674</v>
      </c>
      <c r="S259" s="58">
        <f>IF((SUMPRODUCT(S$8:S$217,Nutrients!$EE$8:$EE$217))=0,S258,IF((SUMPRODUCT(S$8:S$217,Nutrients!$EE$8:$EE$217))&gt;(1500*907),S258+0.14,S258+0.00000000006666*((SUMPRODUCT(S$8:S$217,Nutrients!$EE$8:$EE$217)/907))^3-0.00000023623322*((SUMPRODUCT(S$8:S$217,Nutrients!$EE$8:$EE$217)/907))^2+0.00029262722672*((SUMPRODUCT(S$8:S$217,Nutrients!$EE$8:$EE$217)/907))+0.007028328))</f>
        <v>0.27052773412051279</v>
      </c>
      <c r="T259" s="58">
        <f>IF((SUMPRODUCT(T$8:T$217,Nutrients!$EE$8:$EE$217))=0,T258,IF((SUMPRODUCT(T$8:T$217,Nutrients!$EE$8:$EE$217))&gt;(1500*907),T258+0.14,T258+0.00000000006666*((SUMPRODUCT(T$8:T$217,Nutrients!$EE$8:$EE$217)/907))^3-0.00000023623322*((SUMPRODUCT(T$8:T$217,Nutrients!$EE$8:$EE$217)/907))^2+0.00029262722672*((SUMPRODUCT(T$8:T$217,Nutrients!$EE$8:$EE$217)/907))+0.007028328))</f>
        <v>0.26798267632203154</v>
      </c>
      <c r="U259" s="58">
        <f>IF((SUMPRODUCT(U$8:U$217,Nutrients!$EE$8:$EE$217))=0,U258,IF((SUMPRODUCT(U$8:U$217,Nutrients!$EE$8:$EE$217))&gt;(1500*907),U258+0.14,U258+0.00000000006666*((SUMPRODUCT(U$8:U$217,Nutrients!$EE$8:$EE$217)/907))^3-0.00000023623322*((SUMPRODUCT(U$8:U$217,Nutrients!$EE$8:$EE$217)/907))^2+0.00029262722672*((SUMPRODUCT(U$8:U$217,Nutrients!$EE$8:$EE$217)/907))+0.007028328))</f>
        <v>0.26046443464243652</v>
      </c>
      <c r="V259" s="437"/>
      <c r="W259" s="58">
        <f>IF((SUMPRODUCT(W$8:W$217,Nutrients!$EE$8:$EE$217))=0,W258,IF((SUMPRODUCT(W$8:W$217,Nutrients!$EE$8:$EE$217))&gt;(1500*907),W258+0.14,W258+0.00000000006666*((SUMPRODUCT(W$8:W$217,Nutrients!$EE$8:$EE$217)/907))^3-0.00000023623322*((SUMPRODUCT(W$8:W$217,Nutrients!$EE$8:$EE$217)/907))^2+0.00029262722672*((SUMPRODUCT(W$8:W$217,Nutrients!$EE$8:$EE$217)/907))+0.007028328))</f>
        <v>0.28052261019155056</v>
      </c>
      <c r="X259" s="58">
        <f>IF((SUMPRODUCT(X$8:X$217,Nutrients!$EE$8:$EE$217))=0,X258,IF((SUMPRODUCT(X$8:X$217,Nutrients!$EE$8:$EE$217))&gt;(1500*907),X258+0.14,X258+0.00000000006666*((SUMPRODUCT(X$8:X$217,Nutrients!$EE$8:$EE$217)/907))^3-0.00000023623322*((SUMPRODUCT(X$8:X$217,Nutrients!$EE$8:$EE$217)/907))^2+0.00029262722672*((SUMPRODUCT(X$8:X$217,Nutrients!$EE$8:$EE$217)/907))+0.007028328))</f>
        <v>0.27797621162267649</v>
      </c>
      <c r="Y259" s="58">
        <f>IF((SUMPRODUCT(Y$8:Y$217,Nutrients!$EE$8:$EE$217))=0,Y258,IF((SUMPRODUCT(Y$8:Y$217,Nutrients!$EE$8:$EE$217))&gt;(1500*907),Y258+0.14,Y258+0.00000000006666*((SUMPRODUCT(Y$8:Y$217,Nutrients!$EE$8:$EE$217)/907))^3-0.00000023623322*((SUMPRODUCT(Y$8:Y$217,Nutrients!$EE$8:$EE$217)/907))^2+0.00029262722672*((SUMPRODUCT(Y$8:Y$217,Nutrients!$EE$8:$EE$217)/907))+0.007028328))</f>
        <v>0.27542981305380254</v>
      </c>
      <c r="Z259" s="58">
        <f>IF((SUMPRODUCT(Z$8:Z$217,Nutrients!$EE$8:$EE$217))=0,Z258,IF((SUMPRODUCT(Z$8:Z$217,Nutrients!$EE$8:$EE$217))&gt;(1500*907),Z258+0.14,Z258+0.00000000006666*((SUMPRODUCT(Z$8:Z$217,Nutrients!$EE$8:$EE$217)/907))^3-0.00000023623322*((SUMPRODUCT(Z$8:Z$217,Nutrients!$EE$8:$EE$217)/907))^2+0.00029262722672*((SUMPRODUCT(Z$8:Z$217,Nutrients!$EE$8:$EE$217)/907))+0.007028328))</f>
        <v>0.27307413268938674</v>
      </c>
      <c r="AA259" s="58">
        <f>IF((SUMPRODUCT(AA$8:AA$217,Nutrients!$EE$8:$EE$217))=0,AA258,IF((SUMPRODUCT(AA$8:AA$217,Nutrients!$EE$8:$EE$217))&gt;(1500*907),AA258+0.14,AA258+0.00000000006666*((SUMPRODUCT(AA$8:AA$217,Nutrients!$EE$8:$EE$217)/907))^3-0.00000023623322*((SUMPRODUCT(AA$8:AA$217,Nutrients!$EE$8:$EE$217)/907))^2+0.00029262722672*((SUMPRODUCT(AA$8:AA$217,Nutrients!$EE$8:$EE$217)/907))+0.007028328))</f>
        <v>0.27052773412051279</v>
      </c>
      <c r="AB259" s="58">
        <f>IF((SUMPRODUCT(AB$8:AB$217,Nutrients!$EE$8:$EE$217))=0,AB258,IF((SUMPRODUCT(AB$8:AB$217,Nutrients!$EE$8:$EE$217))&gt;(1500*907),AB258+0.14,AB258+0.00000000006666*((SUMPRODUCT(AB$8:AB$217,Nutrients!$EE$8:$EE$217)/907))^3-0.00000023623322*((SUMPRODUCT(AB$8:AB$217,Nutrients!$EE$8:$EE$217)/907))^2+0.00029262722672*((SUMPRODUCT(AB$8:AB$217,Nutrients!$EE$8:$EE$217)/907))+0.007028328))</f>
        <v>0.26798267632203154</v>
      </c>
      <c r="AC259" s="58">
        <f>IF((SUMPRODUCT(AC$8:AC$217,Nutrients!$EE$8:$EE$217))=0,AC258,IF((SUMPRODUCT(AC$8:AC$217,Nutrients!$EE$8:$EE$217))&gt;(1500*907),AC258+0.14,AC258+0.00000000006666*((SUMPRODUCT(AC$8:AC$217,Nutrients!$EE$8:$EE$217)/907))^3-0.00000023623322*((SUMPRODUCT(AC$8:AC$217,Nutrients!$EE$8:$EE$217)/907))^2+0.00029262722672*((SUMPRODUCT(AC$8:AC$217,Nutrients!$EE$8:$EE$217)/907))+0.007028328))</f>
        <v>0.26046443464243652</v>
      </c>
      <c r="AD259" s="437"/>
      <c r="AE259" s="58">
        <f>IF((SUMPRODUCT(AE$8:AE$217,Nutrients!$EE$8:$EE$217))=0,AE258,IF((SUMPRODUCT(AE$8:AE$217,Nutrients!$EE$8:$EE$217))&gt;(1500*907),AE258+0.14,AE258+0.00000000006666*((SUMPRODUCT(AE$8:AE$217,Nutrients!$EE$8:$EE$217)/907))^3-0.00000023623322*((SUMPRODUCT(AE$8:AE$217,Nutrients!$EE$8:$EE$217)/907))^2+0.00029262722672*((SUMPRODUCT(AE$8:AE$217,Nutrients!$EE$8:$EE$217)/907))+0.007028328))</f>
        <v>0.26930226738392415</v>
      </c>
      <c r="AF259" s="58">
        <f>IF((SUMPRODUCT(AF$8:AF$217,Nutrients!$EE$8:$EE$217))=0,AF258,IF((SUMPRODUCT(AF$8:AF$217,Nutrients!$EE$8:$EE$217))&gt;(1500*907),AF258+0.14,AF258+0.00000000006666*((SUMPRODUCT(AF$8:AF$217,Nutrients!$EE$8:$EE$217)/907))^3-0.00000023623322*((SUMPRODUCT(AF$8:AF$217,Nutrients!$EE$8:$EE$217)/907))^2+0.00029262722672*((SUMPRODUCT(AF$8:AF$217,Nutrients!$EE$8:$EE$217)/907))+0.007028328))</f>
        <v>0.26827867779569847</v>
      </c>
      <c r="AG259" s="58">
        <f>IF((SUMPRODUCT(AG$8:AG$217,Nutrients!$EE$8:$EE$217))=0,AG258,IF((SUMPRODUCT(AG$8:AG$217,Nutrients!$EE$8:$EE$217))&gt;(1500*907),AG258+0.14,AG258+0.00000000006666*((SUMPRODUCT(AG$8:AG$217,Nutrients!$EE$8:$EE$217)/907))^3-0.00000023623322*((SUMPRODUCT(AG$8:AG$217,Nutrients!$EE$8:$EE$217)/907))^2+0.00029262722672*((SUMPRODUCT(AG$8:AG$217,Nutrients!$EE$8:$EE$217)/907))+0.007028328))</f>
        <v>0.26725508820747279</v>
      </c>
      <c r="AH259" s="58">
        <f>IF((SUMPRODUCT(AH$8:AH$217,Nutrients!$EE$8:$EE$217))=0,AH258,IF((SUMPRODUCT(AH$8:AH$217,Nutrients!$EE$8:$EE$217))&gt;(1500*907),AH258+0.14,AH258+0.00000000006666*((SUMPRODUCT(AH$8:AH$217,Nutrients!$EE$8:$EE$217)/907))^3-0.00000023623322*((SUMPRODUCT(AH$8:AH$217,Nutrients!$EE$8:$EE$217)/907))^2+0.00029262722672*((SUMPRODUCT(AH$8:AH$217,Nutrients!$EE$8:$EE$217)/907))+0.007028328))</f>
        <v>0.26623149861924711</v>
      </c>
      <c r="AI259" s="58">
        <f>IF((SUMPRODUCT(AI$8:AI$217,Nutrients!$EE$8:$EE$217))=0,AI258,IF((SUMPRODUCT(AI$8:AI$217,Nutrients!$EE$8:$EE$217))&gt;(1500*907),AI258+0.14,AI258+0.00000000006666*((SUMPRODUCT(AI$8:AI$217,Nutrients!$EE$8:$EE$217)/907))^3-0.00000023623322*((SUMPRODUCT(AI$8:AI$217,Nutrients!$EE$8:$EE$217)/907))^2+0.00029262722672*((SUMPRODUCT(AI$8:AI$217,Nutrients!$EE$8:$EE$217)/907))+0.007028328))</f>
        <v>0.26520790903102143</v>
      </c>
      <c r="AJ259" s="58">
        <f>IF((SUMPRODUCT(AJ$8:AJ$217,Nutrients!$EE$8:$EE$217))=0,AJ258,IF((SUMPRODUCT(AJ$8:AJ$217,Nutrients!$EE$8:$EE$217))&gt;(1500*907),AJ258+0.14,AJ258+0.00000000006666*((SUMPRODUCT(AJ$8:AJ$217,Nutrients!$EE$8:$EE$217)/907))^3-0.00000023623322*((SUMPRODUCT(AJ$8:AJ$217,Nutrients!$EE$8:$EE$217)/907))^2+0.00029262722672*((SUMPRODUCT(AJ$8:AJ$217,Nutrients!$EE$8:$EE$217)/907))+0.007028328))</f>
        <v>0.26470240550468849</v>
      </c>
      <c r="AK259" s="19"/>
      <c r="AL259" s="19"/>
    </row>
    <row r="260" spans="1:38" x14ac:dyDescent="0.15">
      <c r="A260" t="s">
        <v>28</v>
      </c>
      <c r="B260" s="58">
        <f t="shared" ref="B260:G260" si="100">IF(B$4="","",(B259)/(B249*2.2046)*10000)</f>
        <v>1.0400977284160666</v>
      </c>
      <c r="C260" s="58">
        <f t="shared" si="100"/>
        <v>1.0133202449018577</v>
      </c>
      <c r="D260" s="58">
        <f t="shared" si="100"/>
        <v>1.0185870919857818</v>
      </c>
      <c r="E260" s="58">
        <f t="shared" si="100"/>
        <v>0.99211637797593999</v>
      </c>
      <c r="F260" s="58">
        <f t="shared" si="100"/>
        <v>0.99740144178115919</v>
      </c>
      <c r="G260" s="58">
        <f t="shared" si="100"/>
        <v>0.97191907468552019</v>
      </c>
      <c r="H260" s="437"/>
      <c r="I260" s="58">
        <f t="shared" ref="I260:N260" si="101">IF(I$4="","",(I259)/(I249*2.2046)*10000)</f>
        <v>1.1014149117293002</v>
      </c>
      <c r="J260" s="58">
        <f t="shared" si="101"/>
        <v>1.0895170394269025</v>
      </c>
      <c r="K260" s="58">
        <f t="shared" si="101"/>
        <v>1.0768693592209106</v>
      </c>
      <c r="L260" s="58">
        <f t="shared" si="101"/>
        <v>1.0643390838705751</v>
      </c>
      <c r="M260" s="58">
        <f t="shared" si="101"/>
        <v>1.0516004547474931</v>
      </c>
      <c r="N260" s="58">
        <f t="shared" si="101"/>
        <v>1.0395958626702988</v>
      </c>
      <c r="O260" s="437"/>
      <c r="P260" s="58">
        <f t="shared" ref="P260:AE260" si="102">IF(P$4="","",(P259)/(P249*2.2046)*10000)</f>
        <v>0.82237076842254597</v>
      </c>
      <c r="Q260" s="58">
        <f>IF(Q$4="","",(Q259)/(Q249*2.2046)*10000)</f>
        <v>0.81608168675560855</v>
      </c>
      <c r="R260" s="58">
        <f>IF(R$4="","",(R259)/(R249*2.2046)*10000)</f>
        <v>0.80982067347844167</v>
      </c>
      <c r="S260" s="58">
        <f>IF(S$4="","",(S259)/(S249*2.2046)*10000)</f>
        <v>0.80349716006128069</v>
      </c>
      <c r="T260" s="58">
        <f>IF(T$4="","",(T259)/(T249*2.2046)*10000)</f>
        <v>0.79718406344046056</v>
      </c>
      <c r="U260" s="58">
        <f>IF(U$4="","",(U259)/(U249*2.2046)*10000)</f>
        <v>0.77537049783252621</v>
      </c>
      <c r="V260" s="437"/>
      <c r="W260" s="58">
        <f t="shared" si="102"/>
        <v>0.82864787392648642</v>
      </c>
      <c r="X260" s="58">
        <f t="shared" ref="X260:AC260" si="103">IF(X$4="","",(X259)/(X249*2.2046)*10000)</f>
        <v>0.82237076842254597</v>
      </c>
      <c r="Y260" s="58">
        <f t="shared" si="103"/>
        <v>0.81608168675560855</v>
      </c>
      <c r="Z260" s="58">
        <f t="shared" si="103"/>
        <v>0.80982067347844167</v>
      </c>
      <c r="AA260" s="58">
        <f t="shared" si="103"/>
        <v>0.80349716006128069</v>
      </c>
      <c r="AB260" s="58">
        <f t="shared" si="103"/>
        <v>0.79718406344046056</v>
      </c>
      <c r="AC260" s="58">
        <f t="shared" si="103"/>
        <v>0.77537049783252621</v>
      </c>
      <c r="AD260" s="437"/>
      <c r="AE260" s="58">
        <f t="shared" si="102"/>
        <v>0.80773819565115446</v>
      </c>
      <c r="AF260" s="58">
        <f t="shared" ref="AF260" si="104">IF(AF$4="","",(AF259)/(AF249*2.2046)*10000)</f>
        <v>0.80342357153062482</v>
      </c>
      <c r="AG260" s="58">
        <f t="shared" ref="AG260" si="105">IF(AG$4="","",(AG259)/(AG249*2.2046)*10000)</f>
        <v>0.7991222727597963</v>
      </c>
      <c r="AH260" s="58">
        <f t="shared" ref="AH260" si="106">IF(AH$4="","",(AH259)/(AH249*2.2046)*10000)</f>
        <v>0.79483423770253414</v>
      </c>
      <c r="AI260" s="58">
        <f t="shared" ref="AI260" si="107">IF(AI$4="","",(AI259)/(AI249*2.2046)*10000)</f>
        <v>0.79055940510224698</v>
      </c>
      <c r="AJ260" s="58">
        <f t="shared" ref="AJ260" si="108">IF(AJ$4="","",(AJ259)/(AJ249*2.2046)*10000)</f>
        <v>0.78793640665213027</v>
      </c>
      <c r="AK260" s="19"/>
      <c r="AL260" s="19"/>
    </row>
    <row r="261" spans="1:38" x14ac:dyDescent="0.15">
      <c r="A261" s="261" t="s">
        <v>334</v>
      </c>
      <c r="B261" s="58">
        <f>((SUMPRODUCT(B$8:B$217,Nutrients!$DR$8:$DR$217)+(IF($A$6=Nutrients!$B$8,Nutrients!$DR$8,Nutrients!$DR$9)*B$6)+(((IF($A$7=Nutrients!$B$79,Nutrients!$DR$79,(IF($A$7=Nutrients!$B$77,Nutrients!$DR$77,Nutrients!$DR$78)))))*B$7))/2000)</f>
        <v>0.28150341326528944</v>
      </c>
      <c r="C261" s="58">
        <f>((SUMPRODUCT(C$8:C$217,Nutrients!$DR$8:$DR$217)+(IF($A$6=Nutrients!$B$8,Nutrients!$DR$8,Nutrients!$DR$9)*C$6)+(((IF($A$7=Nutrients!$B$79,Nutrients!$DR$79,(IF($A$7=Nutrients!$B$77,Nutrients!$DR$77,Nutrients!$DR$78)))))*C$7))/2000)</f>
        <v>0.27801998499142649</v>
      </c>
      <c r="D261" s="58">
        <f>((SUMPRODUCT(D$8:D$217,Nutrients!$DR$8:$DR$217)+(IF($A$6=Nutrients!$B$8,Nutrients!$DR$8,Nutrients!$DR$9)*D$6)+(((IF($A$7=Nutrients!$B$79,Nutrients!$DR$79,(IF($A$7=Nutrients!$B$77,Nutrients!$DR$77,Nutrients!$DR$78)))))*D$7))/2000)</f>
        <v>0.28400453892300154</v>
      </c>
      <c r="E261" s="58">
        <f>((SUMPRODUCT(E$8:E$217,Nutrients!$DR$8:$DR$217)+(IF($A$6=Nutrients!$B$8,Nutrients!$DR$8,Nutrients!$DR$9)*E$6)+(((IF($A$7=Nutrients!$B$79,Nutrients!$DR$79,(IF($A$7=Nutrients!$B$77,Nutrients!$DR$77,Nutrients!$DR$78)))))*E$7))/2000)</f>
        <v>0.28051071016575491</v>
      </c>
      <c r="F261" s="58">
        <f>((SUMPRODUCT(F$8:F$217,Nutrients!$DR$8:$DR$217)+(IF($A$6=Nutrients!$B$8,Nutrients!$DR$8,Nutrients!$DR$9)*F$6)+(((IF($A$7=Nutrients!$B$79,Nutrients!$DR$79,(IF($A$7=Nutrients!$B$77,Nutrients!$DR$77,Nutrients!$DR$78)))))*F$7))/2000)</f>
        <v>0.28648833044174082</v>
      </c>
      <c r="G261" s="58">
        <f>((SUMPRODUCT(G$8:G$217,Nutrients!$DR$8:$DR$217)+(IF($A$6=Nutrients!$B$8,Nutrients!$DR$8,Nutrients!$DR$9)*G$6)+(((IF($A$7=Nutrients!$B$79,Nutrients!$DR$79,(IF($A$7=Nutrients!$B$77,Nutrients!$DR$77,Nutrients!$DR$78)))))*G$7))/2000)</f>
        <v>0.28303263679023433</v>
      </c>
      <c r="H261" s="437"/>
      <c r="I261" s="58">
        <f>((SUMPRODUCT(I$8:I$217,Nutrients!$DR$8:$DR$217)+(IF($A$6=Nutrients!$B$8,Nutrients!$DR$8,Nutrients!$DR$9)*I$6)+(((IF($A$7=Nutrients!$B$79,Nutrients!$DR$79,(IF($A$7=Nutrients!$B$77,Nutrients!$DR$77,Nutrients!$DR$78)))))*I$7))/2000)</f>
        <v>0.29699969304972645</v>
      </c>
      <c r="J261" s="58">
        <f>((SUMPRODUCT(J$8:J$217,Nutrients!$DR$8:$DR$217)+(IF($A$6=Nutrients!$B$8,Nutrients!$DR$8,Nutrients!$DR$9)*J$6)+(((IF($A$7=Nutrients!$B$79,Nutrients!$DR$79,(IF($A$7=Nutrients!$B$77,Nutrients!$DR$77,Nutrients!$DR$78)))))*J$7))/2000)</f>
        <v>0.29694570991001878</v>
      </c>
      <c r="K261" s="58">
        <f>((SUMPRODUCT(K$8:K$217,Nutrients!$DR$8:$DR$217)+(IF($A$6=Nutrients!$B$8,Nutrients!$DR$8,Nutrients!$DR$9)*K$6)+(((IF($A$7=Nutrients!$B$79,Nutrients!$DR$79,(IF($A$7=Nutrients!$B$77,Nutrients!$DR$77,Nutrients!$DR$78)))))*K$7))/2000)</f>
        <v>0.29685012483677631</v>
      </c>
      <c r="L261" s="58">
        <f>((SUMPRODUCT(L$8:L$217,Nutrients!$DR$8:$DR$217)+(IF($A$6=Nutrients!$B$8,Nutrients!$DR$8,Nutrients!$DR$9)*L$6)+(((IF($A$7=Nutrients!$B$79,Nutrients!$DR$79,(IF($A$7=Nutrients!$B$77,Nutrients!$DR$77,Nutrients!$DR$78)))))*L$7))/2000)</f>
        <v>0.29638667503257943</v>
      </c>
      <c r="M261" s="58">
        <f>((SUMPRODUCT(M$8:M$217,Nutrients!$DR$8:$DR$217)+(IF($A$6=Nutrients!$B$8,Nutrients!$DR$8,Nutrients!$DR$9)*M$6)+(((IF($A$7=Nutrients!$B$79,Nutrients!$DR$79,(IF($A$7=Nutrients!$B$77,Nutrients!$DR$77,Nutrients!$DR$78)))))*M$7))/2000)</f>
        <v>0.29629108995933706</v>
      </c>
      <c r="N261" s="58">
        <f>((SUMPRODUCT(N$8:N$217,Nutrients!$DR$8:$DR$217)+(IF($A$6=Nutrients!$B$8,Nutrients!$DR$8,Nutrients!$DR$9)*N$6)+(((IF($A$7=Nutrients!$B$79,Nutrients!$DR$79,(IF($A$7=Nutrients!$B$77,Nutrients!$DR$77,Nutrients!$DR$78)))))*N$7))/2000)</f>
        <v>0.29623017316404021</v>
      </c>
      <c r="O261" s="437"/>
      <c r="P261" s="58">
        <f>((SUMPRODUCT(P$8:P$217,Nutrients!$DR$8:$DR$217)+(IF($A$6=Nutrients!$B$8,Nutrients!$DR$8,Nutrients!$DR$9)*P$6)+(((IF($A$7=Nutrients!$B$79,Nutrients!$DR$79,(IF($A$7=Nutrients!$B$77,Nutrients!$DR$77,Nutrients!$DR$78)))))*P$7))/2000)</f>
        <v>0.227465625514575</v>
      </c>
      <c r="Q261" s="58">
        <f>((SUMPRODUCT(Q$8:Q$217,Nutrients!$DR$8:$DR$217)+(IF($A$6=Nutrients!$B$8,Nutrients!$DR$8,Nutrients!$DR$9)*Q$6)+(((IF($A$7=Nutrients!$B$79,Nutrients!$DR$79,(IF($A$7=Nutrients!$B$77,Nutrients!$DR$77,Nutrients!$DR$78)))))*Q$7))/2000)</f>
        <v>0.22835653845954113</v>
      </c>
      <c r="R261" s="58">
        <f>((SUMPRODUCT(R$8:R$217,Nutrients!$DR$8:$DR$217)+(IF($A$6=Nutrients!$B$8,Nutrients!$DR$8,Nutrients!$DR$9)*R$6)+(((IF($A$7=Nutrients!$B$79,Nutrients!$DR$79,(IF($A$7=Nutrients!$B$77,Nutrients!$DR$77,Nutrients!$DR$78)))))*R$7))/2000)</f>
        <v>0.2296187829632563</v>
      </c>
      <c r="S261" s="58">
        <f>((SUMPRODUCT(S$8:S$217,Nutrients!$DR$8:$DR$217)+(IF($A$6=Nutrients!$B$8,Nutrients!$DR$8,Nutrients!$DR$9)*S$6)+(((IF($A$7=Nutrients!$B$79,Nutrients!$DR$79,(IF($A$7=Nutrients!$B$77,Nutrients!$DR$77,Nutrients!$DR$78)))))*S$7))/2000)</f>
        <v>0.23050969590822243</v>
      </c>
      <c r="T261" s="58">
        <f>((SUMPRODUCT(T$8:T$217,Nutrients!$DR$8:$DR$217)+(IF($A$6=Nutrients!$B$8,Nutrients!$DR$8,Nutrients!$DR$9)*T$6)+(((IF($A$7=Nutrients!$B$79,Nutrients!$DR$79,(IF($A$7=Nutrients!$B$77,Nutrients!$DR$77,Nutrients!$DR$78)))))*T$7))/2000)</f>
        <v>0.23140407568098312</v>
      </c>
      <c r="U261" s="58">
        <f>((SUMPRODUCT(U$8:U$217,Nutrients!$DR$8:$DR$217)+(IF($A$6=Nutrients!$B$8,Nutrients!$DR$8,Nutrients!$DR$9)*U$6)+(((IF($A$7=Nutrients!$B$79,Nutrients!$DR$79,(IF($A$7=Nutrients!$B$77,Nutrients!$DR$77,Nutrients!$DR$78)))))*U$7))/2000)</f>
        <v>0.22834768935371927</v>
      </c>
      <c r="V261" s="437"/>
      <c r="W261" s="58">
        <f>((SUMPRODUCT(W$8:W$217,Nutrients!$DR$8:$DR$217)+(IF($A$6=Nutrients!$B$8,Nutrients!$DR$8,Nutrients!$DR$9)*W$6)+(((IF($A$7=Nutrients!$B$79,Nutrients!$DR$79,(IF($A$7=Nutrients!$B$77,Nutrients!$DR$77,Nutrients!$DR$78)))))*W$7))/2000)</f>
        <v>0.2265747125696089</v>
      </c>
      <c r="X261" s="58">
        <f>((SUMPRODUCT(X$8:X$217,Nutrients!$DR$8:$DR$217)+(IF($A$6=Nutrients!$B$8,Nutrients!$DR$8,Nutrients!$DR$9)*X$6)+(((IF($A$7=Nutrients!$B$79,Nutrients!$DR$79,(IF($A$7=Nutrients!$B$77,Nutrients!$DR$77,Nutrients!$DR$78)))))*X$7))/2000)</f>
        <v>0.227465625514575</v>
      </c>
      <c r="Y261" s="58">
        <f>((SUMPRODUCT(Y$8:Y$217,Nutrients!$DR$8:$DR$217)+(IF($A$6=Nutrients!$B$8,Nutrients!$DR$8,Nutrients!$DR$9)*Y$6)+(((IF($A$7=Nutrients!$B$79,Nutrients!$DR$79,(IF($A$7=Nutrients!$B$77,Nutrients!$DR$77,Nutrients!$DR$78)))))*Y$7))/2000)</f>
        <v>0.22835653845954113</v>
      </c>
      <c r="Z261" s="58">
        <f>((SUMPRODUCT(Z$8:Z$217,Nutrients!$DR$8:$DR$217)+(IF($A$6=Nutrients!$B$8,Nutrients!$DR$8,Nutrients!$DR$9)*Z$6)+(((IF($A$7=Nutrients!$B$79,Nutrients!$DR$79,(IF($A$7=Nutrients!$B$77,Nutrients!$DR$77,Nutrients!$DR$78)))))*Z$7))/2000)</f>
        <v>0.2296187829632563</v>
      </c>
      <c r="AA261" s="58">
        <f>((SUMPRODUCT(AA$8:AA$217,Nutrients!$DR$8:$DR$217)+(IF($A$6=Nutrients!$B$8,Nutrients!$DR$8,Nutrients!$DR$9)*AA$6)+(((IF($A$7=Nutrients!$B$79,Nutrients!$DR$79,(IF($A$7=Nutrients!$B$77,Nutrients!$DR$77,Nutrients!$DR$78)))))*AA$7))/2000)</f>
        <v>0.23050969590822243</v>
      </c>
      <c r="AB261" s="58">
        <f>((SUMPRODUCT(AB$8:AB$217,Nutrients!$DR$8:$DR$217)+(IF($A$6=Nutrients!$B$8,Nutrients!$DR$8,Nutrients!$DR$9)*AB$6)+(((IF($A$7=Nutrients!$B$79,Nutrients!$DR$79,(IF($A$7=Nutrients!$B$77,Nutrients!$DR$77,Nutrients!$DR$78)))))*AB$7))/2000)</f>
        <v>0.23140407568098312</v>
      </c>
      <c r="AC261" s="58">
        <f>((SUMPRODUCT(AC$8:AC$217,Nutrients!$DR$8:$DR$217)+(IF($A$6=Nutrients!$B$8,Nutrients!$DR$8,Nutrients!$DR$9)*AC$6)+(((IF($A$7=Nutrients!$B$79,Nutrients!$DR$79,(IF($A$7=Nutrients!$B$77,Nutrients!$DR$77,Nutrients!$DR$78)))))*AC$7))/2000)</f>
        <v>0.22834768935371927</v>
      </c>
      <c r="AD261" s="437"/>
      <c r="AE261" s="58">
        <f>((SUMPRODUCT(AE$8:AE$217,Nutrients!$DR$8:$DR$217)+(IF($A$6=Nutrients!$B$8,Nutrients!$DR$8,Nutrients!$DR$9)*AE$6)+(((IF($A$7=Nutrients!$B$79,Nutrients!$DR$79,(IF($A$7=Nutrients!$B$77,Nutrients!$DR$77,Nutrients!$DR$78)))))*AE$7))/2000)</f>
        <v>0.2163621871192945</v>
      </c>
      <c r="AF261" s="58">
        <f>((SUMPRODUCT(AF$8:AF$217,Nutrients!$DR$8:$DR$217)+(IF($A$6=Nutrients!$B$8,Nutrients!$DR$8,Nutrients!$DR$9)*AF$6)+(((IF($A$7=Nutrients!$B$79,Nutrients!$DR$79,(IF($A$7=Nutrients!$B$77,Nutrients!$DR$77,Nutrients!$DR$78)))))*AF$7))/2000)</f>
        <v>0.21667388805650362</v>
      </c>
      <c r="AG261" s="58">
        <f>((SUMPRODUCT(AG$8:AG$217,Nutrients!$DR$8:$DR$217)+(IF($A$6=Nutrients!$B$8,Nutrients!$DR$8,Nutrients!$DR$9)*AG$6)+(((IF($A$7=Nutrients!$B$79,Nutrients!$DR$79,(IF($A$7=Nutrients!$B$77,Nutrients!$DR$77,Nutrients!$DR$78)))))*AG$7))/2000)</f>
        <v>0.21698558899371279</v>
      </c>
      <c r="AH261" s="58">
        <f>((SUMPRODUCT(AH$8:AH$217,Nutrients!$DR$8:$DR$217)+(IF($A$6=Nutrients!$B$8,Nutrients!$DR$8,Nutrients!$DR$9)*AH$6)+(((IF($A$7=Nutrients!$B$79,Nutrients!$DR$79,(IF($A$7=Nutrients!$B$77,Nutrients!$DR$77,Nutrients!$DR$78)))))*AH$7))/2000)</f>
        <v>0.21729728993092182</v>
      </c>
      <c r="AI261" s="58">
        <f>((SUMPRODUCT(AI$8:AI$217,Nutrients!$DR$8:$DR$217)+(IF($A$6=Nutrients!$B$8,Nutrients!$DR$8,Nutrients!$DR$9)*AI$6)+(((IF($A$7=Nutrients!$B$79,Nutrients!$DR$79,(IF($A$7=Nutrients!$B$77,Nutrients!$DR$77,Nutrients!$DR$78)))))*AI$7))/2000)</f>
        <v>0.21760899086813099</v>
      </c>
      <c r="AJ261" s="58">
        <f>((SUMPRODUCT(AJ$8:AJ$217,Nutrients!$DR$8:$DR$217)+(IF($A$6=Nutrients!$B$8,Nutrients!$DR$8,Nutrients!$DR$9)*AJ$6)+(((IF($A$7=Nutrients!$B$79,Nutrients!$DR$79,(IF($A$7=Nutrients!$B$77,Nutrients!$DR$77,Nutrients!$DR$78)))))*AJ$7))/2000)</f>
        <v>0.21895114824365153</v>
      </c>
      <c r="AK261" s="58"/>
      <c r="AL261" s="58"/>
    </row>
    <row r="262" spans="1:38" x14ac:dyDescent="0.15">
      <c r="A262" s="140" t="s">
        <v>335</v>
      </c>
      <c r="B262" s="58">
        <f>IF((SUMPRODUCT(B$8:B$217,Nutrients!$EE$8:$EE$217))=0,B261,IF((SUMPRODUCT(B$8:B$217,Nutrients!$EE$8:$EE$217))&gt;(1500*907),B261+0.14*0.88,B261+(0.00000000006666*((SUMPRODUCT(B$8:B$217,Nutrients!$EE$8:$EE$217)/907))^3-0.00000023623322*((SUMPRODUCT(B$8:B$217,Nutrients!$EE$8:$EE$217)/907))^2+0.00029262722672*((SUMPRODUCT(B$8:B$217,Nutrients!$EE$8:$EE$217)/907))+0.007028328)*0.88))</f>
        <v>0.39932948879728947</v>
      </c>
      <c r="C262" s="58">
        <f>IF((SUMPRODUCT(C$8:C$217,Nutrients!$EE$8:$EE$217))=0,C261,IF((SUMPRODUCT(C$8:C$217,Nutrients!$EE$8:$EE$217))&gt;(1500*907),C261+0.14*0.88,C261+(0.00000000006666*((SUMPRODUCT(C$8:C$217,Nutrients!$EE$8:$EE$217)/907))^3-0.00000023623322*((SUMPRODUCT(C$8:C$217,Nutrients!$EE$8:$EE$217)/907))^2+0.00029262722672*((SUMPRODUCT(C$8:C$217,Nutrients!$EE$8:$EE$217)/907))+0.007028328)*0.88))</f>
        <v>0.39584606052342652</v>
      </c>
      <c r="D262" s="58">
        <f>IF((SUMPRODUCT(D$8:D$217,Nutrients!$EE$8:$EE$217))=0,D261,IF((SUMPRODUCT(D$8:D$217,Nutrients!$EE$8:$EE$217))&gt;(1500*907),D261+0.14*0.88,D261+(0.00000000006666*((SUMPRODUCT(D$8:D$217,Nutrients!$EE$8:$EE$217)/907))^3-0.00000023623322*((SUMPRODUCT(D$8:D$217,Nutrients!$EE$8:$EE$217)/907))^2+0.00029262722672*((SUMPRODUCT(D$8:D$217,Nutrients!$EE$8:$EE$217)/907))+0.007028328)*0.88))</f>
        <v>0.40183061445500157</v>
      </c>
      <c r="E262" s="58">
        <f>IF((SUMPRODUCT(E$8:E$217,Nutrients!$EE$8:$EE$217))=0,E261,IF((SUMPRODUCT(E$8:E$217,Nutrients!$EE$8:$EE$217))&gt;(1500*907),E261+0.14*0.88,E261+(0.00000000006666*((SUMPRODUCT(E$8:E$217,Nutrients!$EE$8:$EE$217)/907))^3-0.00000023623322*((SUMPRODUCT(E$8:E$217,Nutrients!$EE$8:$EE$217)/907))^2+0.00029262722672*((SUMPRODUCT(E$8:E$217,Nutrients!$EE$8:$EE$217)/907))+0.007028328)*0.88))</f>
        <v>0.39833678569775494</v>
      </c>
      <c r="F262" s="58">
        <f>IF((SUMPRODUCT(F$8:F$217,Nutrients!$EE$8:$EE$217))=0,F261,IF((SUMPRODUCT(F$8:F$217,Nutrients!$EE$8:$EE$217))&gt;(1500*907),F261+0.14*0.88,F261+(0.00000000006666*((SUMPRODUCT(F$8:F$217,Nutrients!$EE$8:$EE$217)/907))^3-0.00000023623322*((SUMPRODUCT(F$8:F$217,Nutrients!$EE$8:$EE$217)/907))^2+0.00029262722672*((SUMPRODUCT(F$8:F$217,Nutrients!$EE$8:$EE$217)/907))+0.007028328)*0.88))</f>
        <v>0.40431440597374085</v>
      </c>
      <c r="G262" s="58">
        <f>IF((SUMPRODUCT(G$8:G$217,Nutrients!$EE$8:$EE$217))=0,G261,IF((SUMPRODUCT(G$8:G$217,Nutrients!$EE$8:$EE$217))&gt;(1500*907),G261+0.14*0.88,G261+(0.00000000006666*((SUMPRODUCT(G$8:G$217,Nutrients!$EE$8:$EE$217)/907))^3-0.00000023623322*((SUMPRODUCT(G$8:G$217,Nutrients!$EE$8:$EE$217)/907))^2+0.00029262722672*((SUMPRODUCT(G$8:G$217,Nutrients!$EE$8:$EE$217)/907))+0.007028328)*0.88))</f>
        <v>0.40085871232223436</v>
      </c>
      <c r="H262" s="437"/>
      <c r="I262" s="58">
        <f>IF((SUMPRODUCT(I$8:I$217,Nutrients!$EE$8:$EE$217))=0,I261,IF((SUMPRODUCT(I$8:I$217,Nutrients!$EE$8:$EE$217))&gt;(1500*907),I261+0.14*0.88,I261+(0.00000000006666*((SUMPRODUCT(I$8:I$217,Nutrients!$EE$8:$EE$217)/907))^3-0.00000023623322*((SUMPRODUCT(I$8:I$217,Nutrients!$EE$8:$EE$217)/907))^2+0.00029262722672*((SUMPRODUCT(I$8:I$217,Nutrients!$EE$8:$EE$217)/907))+0.007028328)*0.88))</f>
        <v>0.40413067242492645</v>
      </c>
      <c r="J262" s="58">
        <f>IF((SUMPRODUCT(J$8:J$217,Nutrients!$EE$8:$EE$217))=0,J261,IF((SUMPRODUCT(J$8:J$217,Nutrients!$EE$8:$EE$217))&gt;(1500*907),J261+0.14*0.88,J261+(0.00000000006666*((SUMPRODUCT(J$8:J$217,Nutrients!$EE$8:$EE$217)/907))^3-0.00000023623322*((SUMPRODUCT(J$8:J$217,Nutrients!$EE$8:$EE$217)/907))^2+0.00029262722672*((SUMPRODUCT(J$8:J$217,Nutrients!$EE$8:$EE$217)/907))+0.007028328)*0.88))</f>
        <v>0.40407668928521878</v>
      </c>
      <c r="K262" s="58">
        <f>IF((SUMPRODUCT(K$8:K$217,Nutrients!$EE$8:$EE$217))=0,K261,IF((SUMPRODUCT(K$8:K$217,Nutrients!$EE$8:$EE$217))&gt;(1500*907),K261+0.14*0.88,K261+(0.00000000006666*((SUMPRODUCT(K$8:K$217,Nutrients!$EE$8:$EE$217)/907))^3-0.00000023623322*((SUMPRODUCT(K$8:K$217,Nutrients!$EE$8:$EE$217)/907))^2+0.00029262722672*((SUMPRODUCT(K$8:K$217,Nutrients!$EE$8:$EE$217)/907))+0.007028328)*0.88))</f>
        <v>0.40398110421197631</v>
      </c>
      <c r="L262" s="58">
        <f>IF((SUMPRODUCT(L$8:L$217,Nutrients!$EE$8:$EE$217))=0,L261,IF((SUMPRODUCT(L$8:L$217,Nutrients!$EE$8:$EE$217))&gt;(1500*907),L261+0.14*0.88,L261+(0.00000000006666*((SUMPRODUCT(L$8:L$217,Nutrients!$EE$8:$EE$217)/907))^3-0.00000023623322*((SUMPRODUCT(L$8:L$217,Nutrients!$EE$8:$EE$217)/907))^2+0.00029262722672*((SUMPRODUCT(L$8:L$217,Nutrients!$EE$8:$EE$217)/907))+0.007028328)*0.88))</f>
        <v>0.40351765440777942</v>
      </c>
      <c r="M262" s="58">
        <f>IF((SUMPRODUCT(M$8:M$217,Nutrients!$EE$8:$EE$217))=0,M261,IF((SUMPRODUCT(M$8:M$217,Nutrients!$EE$8:$EE$217))&gt;(1500*907),M261+0.14*0.88,M261+(0.00000000006666*((SUMPRODUCT(M$8:M$217,Nutrients!$EE$8:$EE$217)/907))^3-0.00000023623322*((SUMPRODUCT(M$8:M$217,Nutrients!$EE$8:$EE$217)/907))^2+0.00029262722672*((SUMPRODUCT(M$8:M$217,Nutrients!$EE$8:$EE$217)/907))+0.007028328)*0.88))</f>
        <v>0.40342206933453706</v>
      </c>
      <c r="N262" s="58">
        <f>IF((SUMPRODUCT(N$8:N$217,Nutrients!$EE$8:$EE$217))=0,N261,IF((SUMPRODUCT(N$8:N$217,Nutrients!$EE$8:$EE$217))&gt;(1500*907),N261+0.14*0.88,N261+(0.00000000006666*((SUMPRODUCT(N$8:N$217,Nutrients!$EE$8:$EE$217)/907))^3-0.00000023623322*((SUMPRODUCT(N$8:N$217,Nutrients!$EE$8:$EE$217)/907))^2+0.00029262722672*((SUMPRODUCT(N$8:N$217,Nutrients!$EE$8:$EE$217)/907))+0.007028328)*0.88))</f>
        <v>0.40336115253924021</v>
      </c>
      <c r="O262" s="437"/>
      <c r="P262" s="58">
        <f>IF((SUMPRODUCT(P$8:P$217,Nutrients!$EE$8:$EE$217))=0,P261,IF((SUMPRODUCT(P$8:P$217,Nutrients!$EE$8:$EE$217))&gt;(1500*907),P261+0.14*0.88,P261+(0.00000000006666*((SUMPRODUCT(P$8:P$217,Nutrients!$EE$8:$EE$217)/907))^3-0.00000023623322*((SUMPRODUCT(P$8:P$217,Nutrients!$EE$8:$EE$217)/907))^2+0.00029262722672*((SUMPRODUCT(P$8:P$217,Nutrients!$EE$8:$EE$217)/907))+0.007028328)*0.88))</f>
        <v>0.317767825511375</v>
      </c>
      <c r="Q262" s="58">
        <f>IF((SUMPRODUCT(Q$8:Q$217,Nutrients!$EE$8:$EE$217))=0,Q261,IF((SUMPRODUCT(Q$8:Q$217,Nutrients!$EE$8:$EE$217))&gt;(1500*907),Q261+0.14*0.88,Q261+(0.00000000006666*((SUMPRODUCT(Q$8:Q$217,Nutrients!$EE$8:$EE$217)/907))^3-0.00000023623322*((SUMPRODUCT(Q$8:Q$217,Nutrients!$EE$8:$EE$217)/907))^2+0.00029262722672*((SUMPRODUCT(Q$8:Q$217,Nutrients!$EE$8:$EE$217)/907))+0.007028328)*0.88))</f>
        <v>0.31865873845634113</v>
      </c>
      <c r="R262" s="58">
        <f>IF((SUMPRODUCT(R$8:R$217,Nutrients!$EE$8:$EE$217))=0,R261,IF((SUMPRODUCT(R$8:R$217,Nutrients!$EE$8:$EE$217))&gt;(1500*907),R261+0.14*0.88,R261+(0.00000000006666*((SUMPRODUCT(R$8:R$217,Nutrients!$EE$8:$EE$217)/907))^3-0.00000023623322*((SUMPRODUCT(R$8:R$217,Nutrients!$EE$8:$EE$217)/907))^2+0.00029262722672*((SUMPRODUCT(R$8:R$217,Nutrients!$EE$8:$EE$217)/907))+0.007028328)*0.88))</f>
        <v>0.31992098296005628</v>
      </c>
      <c r="S262" s="58">
        <f>IF((SUMPRODUCT(S$8:S$217,Nutrients!$EE$8:$EE$217))=0,S261,IF((SUMPRODUCT(S$8:S$217,Nutrients!$EE$8:$EE$217))&gt;(1500*907),S261+0.14*0.88,S261+(0.00000000006666*((SUMPRODUCT(S$8:S$217,Nutrients!$EE$8:$EE$217)/907))^3-0.00000023623322*((SUMPRODUCT(S$8:S$217,Nutrients!$EE$8:$EE$217)/907))^2+0.00029262722672*((SUMPRODUCT(S$8:S$217,Nutrients!$EE$8:$EE$217)/907))+0.007028328)*0.88))</f>
        <v>0.3208118959050224</v>
      </c>
      <c r="T262" s="58">
        <f>IF((SUMPRODUCT(T$8:T$217,Nutrients!$EE$8:$EE$217))=0,T261,IF((SUMPRODUCT(T$8:T$217,Nutrients!$EE$8:$EE$217))&gt;(1500*907),T261+0.14*0.88,T261+(0.00000000006666*((SUMPRODUCT(T$8:T$217,Nutrients!$EE$8:$EE$217)/907))^3-0.00000023623322*((SUMPRODUCT(T$8:T$217,Nutrients!$EE$8:$EE$217)/907))^2+0.00029262722672*((SUMPRODUCT(T$8:T$217,Nutrients!$EE$8:$EE$217)/907))+0.007028328)*0.88))</f>
        <v>0.32170627567778309</v>
      </c>
      <c r="U262" s="58">
        <f>IF((SUMPRODUCT(U$8:U$217,Nutrients!$EE$8:$EE$217))=0,U261,IF((SUMPRODUCT(U$8:U$217,Nutrients!$EE$8:$EE$217))&gt;(1500*907),U261+0.14*0.88,U261+(0.00000000006666*((SUMPRODUCT(U$8:U$217,Nutrients!$EE$8:$EE$217)/907))^3-0.00000023623322*((SUMPRODUCT(U$8:U$217,Nutrients!$EE$8:$EE$217)/907))^2+0.00029262722672*((SUMPRODUCT(U$8:U$217,Nutrients!$EE$8:$EE$217)/907))+0.007028328)*0.88))</f>
        <v>0.31864988935051924</v>
      </c>
      <c r="V262" s="437"/>
      <c r="W262" s="58">
        <f>IF((SUMPRODUCT(W$8:W$217,Nutrients!$EE$8:$EE$217))=0,W261,IF((SUMPRODUCT(W$8:W$217,Nutrients!$EE$8:$EE$217))&gt;(1500*907),W261+0.14*0.88,W261+(0.00000000006666*((SUMPRODUCT(W$8:W$217,Nutrients!$EE$8:$EE$217)/907))^3-0.00000023623322*((SUMPRODUCT(W$8:W$217,Nutrients!$EE$8:$EE$217)/907))^2+0.00029262722672*((SUMPRODUCT(W$8:W$217,Nutrients!$EE$8:$EE$217)/907))+0.007028328)*0.88))</f>
        <v>0.31687691256640887</v>
      </c>
      <c r="X262" s="58">
        <f>IF((SUMPRODUCT(X$8:X$217,Nutrients!$EE$8:$EE$217))=0,X261,IF((SUMPRODUCT(X$8:X$217,Nutrients!$EE$8:$EE$217))&gt;(1500*907),X261+0.14*0.88,X261+(0.00000000006666*((SUMPRODUCT(X$8:X$217,Nutrients!$EE$8:$EE$217)/907))^3-0.00000023623322*((SUMPRODUCT(X$8:X$217,Nutrients!$EE$8:$EE$217)/907))^2+0.00029262722672*((SUMPRODUCT(X$8:X$217,Nutrients!$EE$8:$EE$217)/907))+0.007028328)*0.88))</f>
        <v>0.317767825511375</v>
      </c>
      <c r="Y262" s="58">
        <f>IF((SUMPRODUCT(Y$8:Y$217,Nutrients!$EE$8:$EE$217))=0,Y261,IF((SUMPRODUCT(Y$8:Y$217,Nutrients!$EE$8:$EE$217))&gt;(1500*907),Y261+0.14*0.88,Y261+(0.00000000006666*((SUMPRODUCT(Y$8:Y$217,Nutrients!$EE$8:$EE$217)/907))^3-0.00000023623322*((SUMPRODUCT(Y$8:Y$217,Nutrients!$EE$8:$EE$217)/907))^2+0.00029262722672*((SUMPRODUCT(Y$8:Y$217,Nutrients!$EE$8:$EE$217)/907))+0.007028328)*0.88))</f>
        <v>0.31865873845634113</v>
      </c>
      <c r="Z262" s="58">
        <f>IF((SUMPRODUCT(Z$8:Z$217,Nutrients!$EE$8:$EE$217))=0,Z261,IF((SUMPRODUCT(Z$8:Z$217,Nutrients!$EE$8:$EE$217))&gt;(1500*907),Z261+0.14*0.88,Z261+(0.00000000006666*((SUMPRODUCT(Z$8:Z$217,Nutrients!$EE$8:$EE$217)/907))^3-0.00000023623322*((SUMPRODUCT(Z$8:Z$217,Nutrients!$EE$8:$EE$217)/907))^2+0.00029262722672*((SUMPRODUCT(Z$8:Z$217,Nutrients!$EE$8:$EE$217)/907))+0.007028328)*0.88))</f>
        <v>0.31992098296005628</v>
      </c>
      <c r="AA262" s="58">
        <f>IF((SUMPRODUCT(AA$8:AA$217,Nutrients!$EE$8:$EE$217))=0,AA261,IF((SUMPRODUCT(AA$8:AA$217,Nutrients!$EE$8:$EE$217))&gt;(1500*907),AA261+0.14*0.88,AA261+(0.00000000006666*((SUMPRODUCT(AA$8:AA$217,Nutrients!$EE$8:$EE$217)/907))^3-0.00000023623322*((SUMPRODUCT(AA$8:AA$217,Nutrients!$EE$8:$EE$217)/907))^2+0.00029262722672*((SUMPRODUCT(AA$8:AA$217,Nutrients!$EE$8:$EE$217)/907))+0.007028328)*0.88))</f>
        <v>0.3208118959050224</v>
      </c>
      <c r="AB262" s="58">
        <f>IF((SUMPRODUCT(AB$8:AB$217,Nutrients!$EE$8:$EE$217))=0,AB261,IF((SUMPRODUCT(AB$8:AB$217,Nutrients!$EE$8:$EE$217))&gt;(1500*907),AB261+0.14*0.88,AB261+(0.00000000006666*((SUMPRODUCT(AB$8:AB$217,Nutrients!$EE$8:$EE$217)/907))^3-0.00000023623322*((SUMPRODUCT(AB$8:AB$217,Nutrients!$EE$8:$EE$217)/907))^2+0.00029262722672*((SUMPRODUCT(AB$8:AB$217,Nutrients!$EE$8:$EE$217)/907))+0.007028328)*0.88))</f>
        <v>0.32170627567778309</v>
      </c>
      <c r="AC262" s="58">
        <f>IF((SUMPRODUCT(AC$8:AC$217,Nutrients!$EE$8:$EE$217))=0,AC261,IF((SUMPRODUCT(AC$8:AC$217,Nutrients!$EE$8:$EE$217))&gt;(1500*907),AC261+0.14*0.88,AC261+(0.00000000006666*((SUMPRODUCT(AC$8:AC$217,Nutrients!$EE$8:$EE$217)/907))^3-0.00000023623322*((SUMPRODUCT(AC$8:AC$217,Nutrients!$EE$8:$EE$217)/907))^2+0.00029262722672*((SUMPRODUCT(AC$8:AC$217,Nutrients!$EE$8:$EE$217)/907))+0.007028328)*0.88))</f>
        <v>0.31864988935051924</v>
      </c>
      <c r="AD262" s="437"/>
      <c r="AE262" s="58">
        <f>IF((SUMPRODUCT(AE$8:AE$217,Nutrients!$EE$8:$EE$217))=0,AE261,IF((SUMPRODUCT(AE$8:AE$217,Nutrients!$EE$8:$EE$217))&gt;(1500*907),AE261+0.14*0.88,AE261+(0.00000000006666*((SUMPRODUCT(AE$8:AE$217,Nutrients!$EE$8:$EE$217)/907))^3-0.00000023623322*((SUMPRODUCT(AE$8:AE$217,Nutrients!$EE$8:$EE$217)/907))^2+0.00029262722672*((SUMPRODUCT(AE$8:AE$217,Nutrients!$EE$8:$EE$217)/907))+0.007028328)*0.88))</f>
        <v>0.30666438711609451</v>
      </c>
      <c r="AF262" s="58">
        <f>IF((SUMPRODUCT(AF$8:AF$217,Nutrients!$EE$8:$EE$217))=0,AF261,IF((SUMPRODUCT(AF$8:AF$217,Nutrients!$EE$8:$EE$217))&gt;(1500*907),AF261+0.14*0.88,AF261+(0.00000000006666*((SUMPRODUCT(AF$8:AF$217,Nutrients!$EE$8:$EE$217)/907))^3-0.00000023623322*((SUMPRODUCT(AF$8:AF$217,Nutrients!$EE$8:$EE$217)/907))^2+0.00029262722672*((SUMPRODUCT(AF$8:AF$217,Nutrients!$EE$8:$EE$217)/907))+0.007028328)*0.88))</f>
        <v>0.30697608805330362</v>
      </c>
      <c r="AG262" s="58">
        <f>IF((SUMPRODUCT(AG$8:AG$217,Nutrients!$EE$8:$EE$217))=0,AG261,IF((SUMPRODUCT(AG$8:AG$217,Nutrients!$EE$8:$EE$217))&gt;(1500*907),AG261+0.14*0.88,AG261+(0.00000000006666*((SUMPRODUCT(AG$8:AG$217,Nutrients!$EE$8:$EE$217)/907))^3-0.00000023623322*((SUMPRODUCT(AG$8:AG$217,Nutrients!$EE$8:$EE$217)/907))^2+0.00029262722672*((SUMPRODUCT(AG$8:AG$217,Nutrients!$EE$8:$EE$217)/907))+0.007028328)*0.88))</f>
        <v>0.30728778899051279</v>
      </c>
      <c r="AH262" s="58">
        <f>IF((SUMPRODUCT(AH$8:AH$217,Nutrients!$EE$8:$EE$217))=0,AH261,IF((SUMPRODUCT(AH$8:AH$217,Nutrients!$EE$8:$EE$217))&gt;(1500*907),AH261+0.14*0.88,AH261+(0.00000000006666*((SUMPRODUCT(AH$8:AH$217,Nutrients!$EE$8:$EE$217)/907))^3-0.00000023623322*((SUMPRODUCT(AH$8:AH$217,Nutrients!$EE$8:$EE$217)/907))^2+0.00029262722672*((SUMPRODUCT(AH$8:AH$217,Nutrients!$EE$8:$EE$217)/907))+0.007028328)*0.88))</f>
        <v>0.30759948992772179</v>
      </c>
      <c r="AI262" s="58">
        <f>IF((SUMPRODUCT(AI$8:AI$217,Nutrients!$EE$8:$EE$217))=0,AI261,IF((SUMPRODUCT(AI$8:AI$217,Nutrients!$EE$8:$EE$217))&gt;(1500*907),AI261+0.14*0.88,AI261+(0.00000000006666*((SUMPRODUCT(AI$8:AI$217,Nutrients!$EE$8:$EE$217)/907))^3-0.00000023623322*((SUMPRODUCT(AI$8:AI$217,Nutrients!$EE$8:$EE$217)/907))^2+0.00029262722672*((SUMPRODUCT(AI$8:AI$217,Nutrients!$EE$8:$EE$217)/907))+0.007028328)*0.88))</f>
        <v>0.30791119086493096</v>
      </c>
      <c r="AJ262" s="58">
        <f>IF((SUMPRODUCT(AJ$8:AJ$217,Nutrients!$EE$8:$EE$217))=0,AJ261,IF((SUMPRODUCT(AJ$8:AJ$217,Nutrients!$EE$8:$EE$217))&gt;(1500*907),AJ261+0.14*0.88,AJ261+(0.00000000006666*((SUMPRODUCT(AJ$8:AJ$217,Nutrients!$EE$8:$EE$217)/907))^3-0.00000023623322*((SUMPRODUCT(AJ$8:AJ$217,Nutrients!$EE$8:$EE$217)/907))^2+0.00029262722672*((SUMPRODUCT(AJ$8:AJ$217,Nutrients!$EE$8:$EE$217)/907))+0.007028328)*0.88))</f>
        <v>0.30925334824045153</v>
      </c>
      <c r="AK262" s="58"/>
      <c r="AL262" s="58"/>
    </row>
    <row r="263" spans="1:38" x14ac:dyDescent="0.15">
      <c r="A263" s="140" t="s">
        <v>362</v>
      </c>
      <c r="B263" s="58">
        <f>((SUMPRODUCT(B$8:B$217,Nutrients!$DS$8:$DS$217)+(IF($A$6=Nutrients!$B$8,Nutrients!$DS$8,Nutrients!$DS$9)*B$6)+(((IF($A$7=Nutrients!$B$79,Nutrients!$DS$79,(IF($A$7=Nutrients!$B$77,Nutrients!$DS$77,Nutrients!$DS$78)))))*B$7))/2000)</f>
        <v>0.46481939877112766</v>
      </c>
      <c r="C263" s="58">
        <f>((SUMPRODUCT(C$8:C$217,Nutrients!$DS$8:$DS$217)+(IF($A$6=Nutrients!$B$8,Nutrients!$DS$8,Nutrients!$DS$9)*C$6)+(((IF($A$7=Nutrients!$B$79,Nutrients!$DS$79,(IF($A$7=Nutrients!$B$77,Nutrients!$DS$77,Nutrients!$DS$78)))))*C$7))/2000)</f>
        <v>0.46157579274516219</v>
      </c>
      <c r="D263" s="58">
        <f>((SUMPRODUCT(D$8:D$217,Nutrients!$DS$8:$DS$217)+(IF($A$6=Nutrients!$B$8,Nutrients!$DS$8,Nutrients!$DS$9)*D$6)+(((IF($A$7=Nutrients!$B$79,Nutrients!$DS$79,(IF($A$7=Nutrients!$B$77,Nutrients!$DS$77,Nutrients!$DS$78)))))*D$7))/2000)</f>
        <v>0.46156922674940809</v>
      </c>
      <c r="E263" s="58">
        <f>((SUMPRODUCT(E$8:E$217,Nutrients!$DS$8:$DS$217)+(IF($A$6=Nutrients!$B$8,Nutrients!$DS$8,Nutrients!$DS$9)*E$6)+(((IF($A$7=Nutrients!$B$79,Nutrients!$DS$79,(IF($A$7=Nutrients!$B$77,Nutrients!$DS$77,Nutrients!$DS$78)))))*E$7))/2000)</f>
        <v>0.46079092359353313</v>
      </c>
      <c r="F263" s="58">
        <f>((SUMPRODUCT(F$8:F$217,Nutrients!$DS$8:$DS$217)+(IF($A$6=Nutrients!$B$8,Nutrients!$DS$8,Nutrients!$DS$9)*F$6)+(((IF($A$7=Nutrients!$B$79,Nutrients!$DS$79,(IF($A$7=Nutrients!$B$77,Nutrients!$DS$77,Nutrients!$DS$78)))))*F$7))/2000)</f>
        <v>0.46078522617783951</v>
      </c>
      <c r="G263" s="58">
        <f>((SUMPRODUCT(G$8:G$217,Nutrients!$DS$8:$DS$217)+(IF($A$6=Nutrients!$B$8,Nutrients!$DS$8,Nutrients!$DS$9)*G$6)+(((IF($A$7=Nutrients!$B$79,Nutrients!$DS$79,(IF($A$7=Nutrients!$B$77,Nutrients!$DS$77,Nutrients!$DS$78)))))*G$7))/2000)</f>
        <v>0.46000214583163224</v>
      </c>
      <c r="H263" s="437"/>
      <c r="I263" s="58">
        <f>((SUMPRODUCT(I$8:I$217,Nutrients!$DS$8:$DS$217)+(IF($A$6=Nutrients!$B$8,Nutrients!$DS$8,Nutrients!$DS$9)*I$6)+(((IF($A$7=Nutrients!$B$79,Nutrients!$DS$79,(IF($A$7=Nutrients!$B$77,Nutrients!$DS$77,Nutrients!$DS$78)))))*I$7))/2000)</f>
        <v>0.45880790207805988</v>
      </c>
      <c r="J263" s="58">
        <f>((SUMPRODUCT(J$8:J$217,Nutrients!$DS$8:$DS$217)+(IF($A$6=Nutrients!$B$8,Nutrients!$DS$8,Nutrients!$DS$9)*J$6)+(((IF($A$7=Nutrients!$B$79,Nutrients!$DS$79,(IF($A$7=Nutrients!$B$77,Nutrients!$DS$77,Nutrients!$DS$78)))))*J$7))/2000)</f>
        <v>0.45683878433493913</v>
      </c>
      <c r="K263" s="58">
        <f>((SUMPRODUCT(K$8:K$217,Nutrients!$DS$8:$DS$217)+(IF($A$6=Nutrients!$B$8,Nutrients!$DS$8,Nutrients!$DS$9)*K$6)+(((IF($A$7=Nutrients!$B$79,Nutrients!$DS$79,(IF($A$7=Nutrients!$B$77,Nutrients!$DS$77,Nutrients!$DS$78)))))*K$7))/2000)</f>
        <v>0.45733887807218082</v>
      </c>
      <c r="L263" s="58">
        <f>((SUMPRODUCT(L$8:L$217,Nutrients!$DS$8:$DS$217)+(IF($A$6=Nutrients!$B$8,Nutrients!$DS$8,Nutrients!$DS$9)*L$6)+(((IF($A$7=Nutrients!$B$79,Nutrients!$DS$79,(IF($A$7=Nutrients!$B$77,Nutrients!$DS$77,Nutrients!$DS$78)))))*L$7))/2000)</f>
        <v>0.45743623756838409</v>
      </c>
      <c r="M263" s="58">
        <f>((SUMPRODUCT(M$8:M$217,Nutrients!$DS$8:$DS$217)+(IF($A$6=Nutrients!$B$8,Nutrients!$DS$8,Nutrients!$DS$9)*M$6)+(((IF($A$7=Nutrients!$B$79,Nutrients!$DS$79,(IF($A$7=Nutrients!$B$77,Nutrients!$DS$77,Nutrients!$DS$78)))))*M$7))/2000)</f>
        <v>0.45793633130562589</v>
      </c>
      <c r="N263" s="58">
        <f>((SUMPRODUCT(N$8:N$217,Nutrients!$DS$8:$DS$217)+(IF($A$6=Nutrients!$B$8,Nutrients!$DS$8,Nutrients!$DS$9)*N$6)+(((IF($A$7=Nutrients!$B$79,Nutrients!$DS$79,(IF($A$7=Nutrients!$B$77,Nutrients!$DS$77,Nutrients!$DS$78)))))*N$7))/2000)</f>
        <v>0.45843208214256548</v>
      </c>
      <c r="O263" s="437"/>
      <c r="P263" s="58">
        <f>((SUMPRODUCT(P$8:P$217,Nutrients!$DS$8:$DS$217)+(IF($A$6=Nutrients!$B$8,Nutrients!$DS$8,Nutrients!$DS$9)*P$6)+(((IF($A$7=Nutrients!$B$79,Nutrients!$DS$79,(IF($A$7=Nutrients!$B$77,Nutrients!$DS$77,Nutrients!$DS$78)))))*P$7))/2000)</f>
        <v>0.3407912773332244</v>
      </c>
      <c r="Q263" s="58">
        <f>((SUMPRODUCT(Q$8:Q$217,Nutrients!$DS$8:$DS$217)+(IF($A$6=Nutrients!$B$8,Nutrients!$DS$8,Nutrients!$DS$9)*Q$6)+(((IF($A$7=Nutrients!$B$79,Nutrients!$DS$79,(IF($A$7=Nutrients!$B$77,Nutrients!$DS$77,Nutrients!$DS$78)))))*Q$7))/2000)</f>
        <v>0.34156675885931242</v>
      </c>
      <c r="R263" s="58">
        <f>((SUMPRODUCT(R$8:R$217,Nutrients!$DS$8:$DS$217)+(IF($A$6=Nutrients!$B$8,Nutrients!$DS$8,Nutrients!$DS$9)*R$6)+(((IF($A$7=Nutrients!$B$79,Nutrients!$DS$79,(IF($A$7=Nutrients!$B$77,Nutrients!$DS$77,Nutrients!$DS$78)))))*R$7))/2000)</f>
        <v>0.34274454033640894</v>
      </c>
      <c r="S263" s="58">
        <f>((SUMPRODUCT(S$8:S$217,Nutrients!$DS$8:$DS$217)+(IF($A$6=Nutrients!$B$8,Nutrients!$DS$8,Nutrients!$DS$9)*S$6)+(((IF($A$7=Nutrients!$B$79,Nutrients!$DS$79,(IF($A$7=Nutrients!$B$77,Nutrients!$DS$77,Nutrients!$DS$78)))))*S$7))/2000)</f>
        <v>0.34352002186249697</v>
      </c>
      <c r="T263" s="58">
        <f>((SUMPRODUCT(T$8:T$217,Nutrients!$DS$8:$DS$217)+(IF($A$6=Nutrients!$B$8,Nutrients!$DS$8,Nutrients!$DS$9)*T$6)+(((IF($A$7=Nutrients!$B$79,Nutrients!$DS$79,(IF($A$7=Nutrients!$B$77,Nutrients!$DS$77,Nutrients!$DS$78)))))*T$7))/2000)</f>
        <v>0.34429506909855473</v>
      </c>
      <c r="U263" s="58">
        <f>((SUMPRODUCT(U$8:U$217,Nutrients!$DS$8:$DS$217)+(IF($A$6=Nutrients!$B$8,Nutrients!$DS$8,Nutrients!$DS$9)*U$6)+(((IF($A$7=Nutrients!$B$79,Nutrients!$DS$79,(IF($A$7=Nutrients!$B$77,Nutrients!$DS$77,Nutrients!$DS$78)))))*U$7))/2000)</f>
        <v>0.34363511502817018</v>
      </c>
      <c r="V263" s="437"/>
      <c r="W263" s="58">
        <f>((SUMPRODUCT(W$8:W$217,Nutrients!$DS$8:$DS$217)+(IF($A$6=Nutrients!$B$8,Nutrients!$DS$8,Nutrients!$DS$9)*W$6)+(((IF($A$7=Nutrients!$B$79,Nutrients!$DS$79,(IF($A$7=Nutrients!$B$77,Nutrients!$DS$77,Nutrients!$DS$78)))))*W$7))/2000)</f>
        <v>0.34001579580713637</v>
      </c>
      <c r="X263" s="58">
        <f>((SUMPRODUCT(X$8:X$217,Nutrients!$DS$8:$DS$217)+(IF($A$6=Nutrients!$B$8,Nutrients!$DS$8,Nutrients!$DS$9)*X$6)+(((IF($A$7=Nutrients!$B$79,Nutrients!$DS$79,(IF($A$7=Nutrients!$B$77,Nutrients!$DS$77,Nutrients!$DS$78)))))*X$7))/2000)</f>
        <v>0.3407912773332244</v>
      </c>
      <c r="Y263" s="58">
        <f>((SUMPRODUCT(Y$8:Y$217,Nutrients!$DS$8:$DS$217)+(IF($A$6=Nutrients!$B$8,Nutrients!$DS$8,Nutrients!$DS$9)*Y$6)+(((IF($A$7=Nutrients!$B$79,Nutrients!$DS$79,(IF($A$7=Nutrients!$B$77,Nutrients!$DS$77,Nutrients!$DS$78)))))*Y$7))/2000)</f>
        <v>0.34156675885931242</v>
      </c>
      <c r="Z263" s="58">
        <f>((SUMPRODUCT(Z$8:Z$217,Nutrients!$DS$8:$DS$217)+(IF($A$6=Nutrients!$B$8,Nutrients!$DS$8,Nutrients!$DS$9)*Z$6)+(((IF($A$7=Nutrients!$B$79,Nutrients!$DS$79,(IF($A$7=Nutrients!$B$77,Nutrients!$DS$77,Nutrients!$DS$78)))))*Z$7))/2000)</f>
        <v>0.34274454033640894</v>
      </c>
      <c r="AA263" s="58">
        <f>((SUMPRODUCT(AA$8:AA$217,Nutrients!$DS$8:$DS$217)+(IF($A$6=Nutrients!$B$8,Nutrients!$DS$8,Nutrients!$DS$9)*AA$6)+(((IF($A$7=Nutrients!$B$79,Nutrients!$DS$79,(IF($A$7=Nutrients!$B$77,Nutrients!$DS$77,Nutrients!$DS$78)))))*AA$7))/2000)</f>
        <v>0.34352002186249697</v>
      </c>
      <c r="AB263" s="58">
        <f>((SUMPRODUCT(AB$8:AB$217,Nutrients!$DS$8:$DS$217)+(IF($A$6=Nutrients!$B$8,Nutrients!$DS$8,Nutrients!$DS$9)*AB$6)+(((IF($A$7=Nutrients!$B$79,Nutrients!$DS$79,(IF($A$7=Nutrients!$B$77,Nutrients!$DS$77,Nutrients!$DS$78)))))*AB$7))/2000)</f>
        <v>0.34429506909855473</v>
      </c>
      <c r="AC263" s="58">
        <f>((SUMPRODUCT(AC$8:AC$217,Nutrients!$DS$8:$DS$217)+(IF($A$6=Nutrients!$B$8,Nutrients!$DS$8,Nutrients!$DS$9)*AC$6)+(((IF($A$7=Nutrients!$B$79,Nutrients!$DS$79,(IF($A$7=Nutrients!$B$77,Nutrients!$DS$77,Nutrients!$DS$78)))))*AC$7))/2000)</f>
        <v>0.34363511502817018</v>
      </c>
      <c r="AD263" s="437"/>
      <c r="AE263" s="58">
        <f>((SUMPRODUCT(AE$8:AE$217,Nutrients!$DS$8:$DS$217)+(IF($A$6=Nutrients!$B$8,Nutrients!$DS$8,Nutrients!$DS$9)*AE$6)+(((IF($A$7=Nutrients!$B$79,Nutrients!$DS$79,(IF($A$7=Nutrients!$B$77,Nutrients!$DS$77,Nutrients!$DS$78)))))*AE$7))/2000)</f>
        <v>0.33134886237445904</v>
      </c>
      <c r="AF263" s="58">
        <f>((SUMPRODUCT(AF$8:AF$217,Nutrients!$DS$8:$DS$217)+(IF($A$6=Nutrients!$B$8,Nutrients!$DS$8,Nutrients!$DS$9)*AF$6)+(((IF($A$7=Nutrients!$B$79,Nutrients!$DS$79,(IF($A$7=Nutrients!$B$77,Nutrients!$DS$77,Nutrients!$DS$78)))))*AF$7))/2000)</f>
        <v>0.3322740968604555</v>
      </c>
      <c r="AG263" s="58">
        <f>((SUMPRODUCT(AG$8:AG$217,Nutrients!$DS$8:$DS$217)+(IF($A$6=Nutrients!$B$8,Nutrients!$DS$8,Nutrients!$DS$9)*AG$6)+(((IF($A$7=Nutrients!$B$79,Nutrients!$DS$79,(IF($A$7=Nutrients!$B$77,Nutrients!$DS$77,Nutrients!$DS$78)))))*AG$7))/2000)</f>
        <v>0.33319933134645213</v>
      </c>
      <c r="AH263" s="58">
        <f>((SUMPRODUCT(AH$8:AH$217,Nutrients!$DS$8:$DS$217)+(IF($A$6=Nutrients!$B$8,Nutrients!$DS$8,Nutrients!$DS$9)*AH$6)+(((IF($A$7=Nutrients!$B$79,Nutrients!$DS$79,(IF($A$7=Nutrients!$B$77,Nutrients!$DS$77,Nutrients!$DS$78)))))*AH$7))/2000)</f>
        <v>0.33412456583244871</v>
      </c>
      <c r="AI263" s="58">
        <f>((SUMPRODUCT(AI$8:AI$217,Nutrients!$DS$8:$DS$217)+(IF($A$6=Nutrients!$B$8,Nutrients!$DS$8,Nutrients!$DS$9)*AI$6)+(((IF($A$7=Nutrients!$B$79,Nutrients!$DS$79,(IF($A$7=Nutrients!$B$77,Nutrients!$DS$77,Nutrients!$DS$78)))))*AI$7))/2000)</f>
        <v>0.33504980031844533</v>
      </c>
      <c r="AJ263" s="58">
        <f>((SUMPRODUCT(AJ$8:AJ$217,Nutrients!$DS$8:$DS$217)+(IF($A$6=Nutrients!$B$8,Nutrients!$DS$8,Nutrients!$DS$9)*AJ$6)+(((IF($A$7=Nutrients!$B$79,Nutrients!$DS$79,(IF($A$7=Nutrients!$B$77,Nutrients!$DS$77,Nutrients!$DS$78)))))*AJ$7))/2000)</f>
        <v>0.33698507808034622</v>
      </c>
      <c r="AK263" s="58"/>
      <c r="AL263" s="58"/>
    </row>
    <row r="264" spans="1:38" x14ac:dyDescent="0.15">
      <c r="A264" s="140" t="s">
        <v>359</v>
      </c>
      <c r="B264" s="58">
        <f>((SUMPRODUCT(B$8:B$217,Nutrients!$DT$8:$DT$217)+(IF($A$6=Nutrients!$B$8,Nutrients!$DT$8,Nutrients!$DT$9)*B$6)+(((IF($A$7=Nutrients!$B$79,Nutrients!$DT$79,(IF($A$7=Nutrients!$B$77,Nutrients!$DT$77,Nutrients!$DT$78)))))*B$7))/2000)</f>
        <v>0.50816223233649049</v>
      </c>
      <c r="C264" s="58">
        <f>((SUMPRODUCT(C$8:C$217,Nutrients!$DT$8:$DT$217)+(IF($A$6=Nutrients!$B$8,Nutrients!$DT$8,Nutrients!$DT$9)*C$6)+(((IF($A$7=Nutrients!$B$79,Nutrients!$DT$79,(IF($A$7=Nutrients!$B$77,Nutrients!$DT$77,Nutrients!$DT$78)))))*C$7))/2000)</f>
        <v>0.50489977462439783</v>
      </c>
      <c r="D264" s="58">
        <f>((SUMPRODUCT(D$8:D$217,Nutrients!$DT$8:$DT$217)+(IF($A$6=Nutrients!$B$8,Nutrients!$DT$8,Nutrients!$DT$9)*D$6)+(((IF($A$7=Nutrients!$B$79,Nutrients!$DT$79,(IF($A$7=Nutrients!$B$77,Nutrients!$DT$77,Nutrients!$DT$78)))))*D$7))/2000)</f>
        <v>0.50473996472197269</v>
      </c>
      <c r="E264" s="58">
        <f>((SUMPRODUCT(E$8:E$217,Nutrients!$DT$8:$DT$217)+(IF($A$6=Nutrients!$B$8,Nutrients!$DT$8,Nutrients!$DT$9)*E$6)+(((IF($A$7=Nutrients!$B$79,Nutrients!$DT$79,(IF($A$7=Nutrients!$B$77,Nutrients!$DT$77,Nutrients!$DT$78)))))*E$7))/2000)</f>
        <v>0.50421224892830896</v>
      </c>
      <c r="F264" s="58">
        <f>((SUMPRODUCT(F$8:F$217,Nutrients!$DT$8:$DT$217)+(IF($A$6=Nutrients!$B$8,Nutrients!$DT$8,Nutrients!$DT$9)*F$6)+(((IF($A$7=Nutrients!$B$79,Nutrients!$DT$79,(IF($A$7=Nutrients!$B$77,Nutrients!$DT$77,Nutrients!$DT$78)))))*F$7))/2000)</f>
        <v>0.5040532669715031</v>
      </c>
      <c r="G264" s="58">
        <f>((SUMPRODUCT(G$8:G$217,Nutrients!$DT$8:$DT$217)+(IF($A$6=Nutrients!$B$8,Nutrients!$DT$8,Nutrients!$DT$9)*G$6)+(((IF($A$7=Nutrients!$B$79,Nutrients!$DT$79,(IF($A$7=Nutrients!$B$77,Nutrients!$DT$77,Nutrients!$DT$78)))))*G$7))/2000)</f>
        <v>0.50352099747693313</v>
      </c>
      <c r="H264" s="437"/>
      <c r="I264" s="58">
        <f>((SUMPRODUCT(I$8:I$217,Nutrients!$DT$8:$DT$217)+(IF($A$6=Nutrients!$B$8,Nutrients!$DT$8,Nutrients!$DT$9)*I$6)+(((IF($A$7=Nutrients!$B$79,Nutrients!$DT$79,(IF($A$7=Nutrients!$B$77,Nutrients!$DT$77,Nutrients!$DT$78)))))*I$7))/2000)</f>
        <v>0.50007913717849273</v>
      </c>
      <c r="J264" s="58">
        <f>((SUMPRODUCT(J$8:J$217,Nutrients!$DT$8:$DT$217)+(IF($A$6=Nutrients!$B$8,Nutrients!$DT$8,Nutrients!$DT$9)*J$6)+(((IF($A$7=Nutrients!$B$79,Nutrients!$DT$79,(IF($A$7=Nutrients!$B$77,Nutrients!$DT$77,Nutrients!$DT$78)))))*J$7))/2000)</f>
        <v>0.49811167058177525</v>
      </c>
      <c r="K264" s="58">
        <f>((SUMPRODUCT(K$8:K$217,Nutrients!$DT$8:$DT$217)+(IF($A$6=Nutrients!$B$8,Nutrients!$DT$8,Nutrients!$DT$9)*K$6)+(((IF($A$7=Nutrients!$B$79,Nutrients!$DT$79,(IF($A$7=Nutrients!$B$77,Nutrients!$DT$77,Nutrients!$DT$78)))))*K$7))/2000)</f>
        <v>0.49888267165877365</v>
      </c>
      <c r="L264" s="58">
        <f>((SUMPRODUCT(L$8:L$217,Nutrients!$DT$8:$DT$217)+(IF($A$6=Nutrients!$B$8,Nutrients!$DT$8,Nutrients!$DT$9)*L$6)+(((IF($A$7=Nutrients!$B$79,Nutrients!$DT$79,(IF($A$7=Nutrients!$B$77,Nutrients!$DT$77,Nutrients!$DT$78)))))*L$7))/2000)</f>
        <v>0.49921722142728836</v>
      </c>
      <c r="M264" s="58">
        <f>((SUMPRODUCT(M$8:M$217,Nutrients!$DT$8:$DT$217)+(IF($A$6=Nutrients!$B$8,Nutrients!$DT$8,Nutrients!$DT$9)*M$6)+(((IF($A$7=Nutrients!$B$79,Nutrients!$DT$79,(IF($A$7=Nutrients!$B$77,Nutrients!$DT$77,Nutrients!$DT$78)))))*M$7))/2000)</f>
        <v>0.49998822250428693</v>
      </c>
      <c r="N264" s="58">
        <f>((SUMPRODUCT(N$8:N$217,Nutrients!$DT$8:$DT$217)+(IF($A$6=Nutrients!$B$8,Nutrients!$DT$8,Nutrients!$DT$9)*N$6)+(((IF($A$7=Nutrients!$B$79,Nutrients!$DT$79,(IF($A$7=Nutrients!$B$77,Nutrients!$DT$77,Nutrients!$DT$78)))))*N$7))/2000)</f>
        <v>0.50075508385318857</v>
      </c>
      <c r="O264" s="437"/>
      <c r="P264" s="58">
        <f>((SUMPRODUCT(P$8:P$217,Nutrients!$DT$8:$DT$217)+(IF($A$6=Nutrients!$B$8,Nutrients!$DT$8,Nutrients!$DT$9)*P$6)+(((IF($A$7=Nutrients!$B$79,Nutrients!$DT$79,(IF($A$7=Nutrients!$B$77,Nutrients!$DT$77,Nutrients!$DT$78)))))*P$7))/2000)</f>
        <v>0.37254232063852366</v>
      </c>
      <c r="Q264" s="58">
        <f>((SUMPRODUCT(Q$8:Q$217,Nutrients!$DT$8:$DT$217)+(IF($A$6=Nutrients!$B$8,Nutrients!$DT$8,Nutrients!$DT$9)*Q$6)+(((IF($A$7=Nutrients!$B$79,Nutrients!$DT$79,(IF($A$7=Nutrients!$B$77,Nutrients!$DT$77,Nutrients!$DT$78)))))*Q$7))/2000)</f>
        <v>0.37351557513227729</v>
      </c>
      <c r="R264" s="58">
        <f>((SUMPRODUCT(R$8:R$217,Nutrients!$DT$8:$DT$217)+(IF($A$6=Nutrients!$B$8,Nutrients!$DT$8,Nutrients!$DT$9)*R$6)+(((IF($A$7=Nutrients!$B$79,Nutrients!$DT$79,(IF($A$7=Nutrients!$B$77,Nutrients!$DT$77,Nutrients!$DT$78)))))*R$7))/2000)</f>
        <v>0.37492486696170491</v>
      </c>
      <c r="S264" s="58">
        <f>((SUMPRODUCT(S$8:S$217,Nutrients!$DT$8:$DT$217)+(IF($A$6=Nutrients!$B$8,Nutrients!$DT$8,Nutrients!$DT$9)*S$6)+(((IF($A$7=Nutrients!$B$79,Nutrients!$DT$79,(IF($A$7=Nutrients!$B$77,Nutrients!$DT$77,Nutrients!$DT$78)))))*S$7))/2000)</f>
        <v>0.37589812145545842</v>
      </c>
      <c r="T264" s="58">
        <f>((SUMPRODUCT(T$8:T$217,Nutrients!$DT$8:$DT$217)+(IF($A$6=Nutrients!$B$8,Nutrients!$DT$8,Nutrients!$DT$9)*T$6)+(((IF($A$7=Nutrients!$B$79,Nutrients!$DT$79,(IF($A$7=Nutrients!$B$77,Nutrients!$DT$77,Nutrients!$DT$78)))))*T$7))/2000)</f>
        <v>0.37687096197640235</v>
      </c>
      <c r="U264" s="58">
        <f>((SUMPRODUCT(U$8:U$217,Nutrients!$DT$8:$DT$217)+(IF($A$6=Nutrients!$B$8,Nutrients!$DT$8,Nutrients!$DT$9)*U$6)+(((IF($A$7=Nutrients!$B$79,Nutrients!$DT$79,(IF($A$7=Nutrients!$B$77,Nutrients!$DT$77,Nutrients!$DT$78)))))*U$7))/2000)</f>
        <v>0.37647633478198739</v>
      </c>
      <c r="V264" s="437"/>
      <c r="W264" s="58">
        <f>((SUMPRODUCT(W$8:W$217,Nutrients!$DT$8:$DT$217)+(IF($A$6=Nutrients!$B$8,Nutrients!$DT$8,Nutrients!$DT$9)*W$6)+(((IF($A$7=Nutrients!$B$79,Nutrients!$DT$79,(IF($A$7=Nutrients!$B$77,Nutrients!$DT$77,Nutrients!$DT$78)))))*W$7))/2000)</f>
        <v>0.37156906614477014</v>
      </c>
      <c r="X264" s="58">
        <f>((SUMPRODUCT(X$8:X$217,Nutrients!$DT$8:$DT$217)+(IF($A$6=Nutrients!$B$8,Nutrients!$DT$8,Nutrients!$DT$9)*X$6)+(((IF($A$7=Nutrients!$B$79,Nutrients!$DT$79,(IF($A$7=Nutrients!$B$77,Nutrients!$DT$77,Nutrients!$DT$78)))))*X$7))/2000)</f>
        <v>0.37254232063852366</v>
      </c>
      <c r="Y264" s="58">
        <f>((SUMPRODUCT(Y$8:Y$217,Nutrients!$DT$8:$DT$217)+(IF($A$6=Nutrients!$B$8,Nutrients!$DT$8,Nutrients!$DT$9)*Y$6)+(((IF($A$7=Nutrients!$B$79,Nutrients!$DT$79,(IF($A$7=Nutrients!$B$77,Nutrients!$DT$77,Nutrients!$DT$78)))))*Y$7))/2000)</f>
        <v>0.37351557513227729</v>
      </c>
      <c r="Z264" s="58">
        <f>((SUMPRODUCT(Z$8:Z$217,Nutrients!$DT$8:$DT$217)+(IF($A$6=Nutrients!$B$8,Nutrients!$DT$8,Nutrients!$DT$9)*Z$6)+(((IF($A$7=Nutrients!$B$79,Nutrients!$DT$79,(IF($A$7=Nutrients!$B$77,Nutrients!$DT$77,Nutrients!$DT$78)))))*Z$7))/2000)</f>
        <v>0.37492486696170491</v>
      </c>
      <c r="AA264" s="58">
        <f>((SUMPRODUCT(AA$8:AA$217,Nutrients!$DT$8:$DT$217)+(IF($A$6=Nutrients!$B$8,Nutrients!$DT$8,Nutrients!$DT$9)*AA$6)+(((IF($A$7=Nutrients!$B$79,Nutrients!$DT$79,(IF($A$7=Nutrients!$B$77,Nutrients!$DT$77,Nutrients!$DT$78)))))*AA$7))/2000)</f>
        <v>0.37589812145545842</v>
      </c>
      <c r="AB264" s="58">
        <f>((SUMPRODUCT(AB$8:AB$217,Nutrients!$DT$8:$DT$217)+(IF($A$6=Nutrients!$B$8,Nutrients!$DT$8,Nutrients!$DT$9)*AB$6)+(((IF($A$7=Nutrients!$B$79,Nutrients!$DT$79,(IF($A$7=Nutrients!$B$77,Nutrients!$DT$77,Nutrients!$DT$78)))))*AB$7))/2000)</f>
        <v>0.37687096197640235</v>
      </c>
      <c r="AC264" s="58">
        <f>((SUMPRODUCT(AC$8:AC$217,Nutrients!$DT$8:$DT$217)+(IF($A$6=Nutrients!$B$8,Nutrients!$DT$8,Nutrients!$DT$9)*AC$6)+(((IF($A$7=Nutrients!$B$79,Nutrients!$DT$79,(IF($A$7=Nutrients!$B$77,Nutrients!$DT$77,Nutrients!$DT$78)))))*AC$7))/2000)</f>
        <v>0.37647633478198739</v>
      </c>
      <c r="AD264" s="437"/>
      <c r="AE264" s="58">
        <f>((SUMPRODUCT(AE$8:AE$217,Nutrients!$DT$8:$DT$217)+(IF($A$6=Nutrients!$B$8,Nutrients!$DT$8,Nutrients!$DT$9)*AE$6)+(((IF($A$7=Nutrients!$B$79,Nutrients!$DT$79,(IF($A$7=Nutrients!$B$77,Nutrients!$DT$77,Nutrients!$DT$78)))))*AE$7))/2000)</f>
        <v>0.3624994237976647</v>
      </c>
      <c r="AF264" s="58">
        <f>((SUMPRODUCT(AF$8:AF$217,Nutrients!$DT$8:$DT$217)+(IF($A$6=Nutrients!$B$8,Nutrients!$DT$8,Nutrients!$DT$9)*AF$6)+(((IF($A$7=Nutrients!$B$79,Nutrients!$DT$79,(IF($A$7=Nutrients!$B$77,Nutrients!$DT$77,Nutrients!$DT$78)))))*AF$7))/2000)</f>
        <v>0.36356560842777819</v>
      </c>
      <c r="AG264" s="58">
        <f>((SUMPRODUCT(AG$8:AG$217,Nutrients!$DT$8:$DT$217)+(IF($A$6=Nutrients!$B$8,Nutrients!$DT$8,Nutrients!$DT$9)*AG$6)+(((IF($A$7=Nutrients!$B$79,Nutrients!$DT$79,(IF($A$7=Nutrients!$B$77,Nutrients!$DT$77,Nutrients!$DT$78)))))*AG$7))/2000)</f>
        <v>0.36463179305789173</v>
      </c>
      <c r="AH264" s="58">
        <f>((SUMPRODUCT(AH$8:AH$217,Nutrients!$DT$8:$DT$217)+(IF($A$6=Nutrients!$B$8,Nutrients!$DT$8,Nutrients!$DT$9)*AH$6)+(((IF($A$7=Nutrients!$B$79,Nutrients!$DT$79,(IF($A$7=Nutrients!$B$77,Nutrients!$DT$77,Nutrients!$DT$78)))))*AH$7))/2000)</f>
        <v>0.36569797768800516</v>
      </c>
      <c r="AI264" s="58">
        <f>((SUMPRODUCT(AI$8:AI$217,Nutrients!$DT$8:$DT$217)+(IF($A$6=Nutrients!$B$8,Nutrients!$DT$8,Nutrients!$DT$9)*AI$6)+(((IF($A$7=Nutrients!$B$79,Nutrients!$DT$79,(IF($A$7=Nutrients!$B$77,Nutrients!$DT$77,Nutrients!$DT$78)))))*AI$7))/2000)</f>
        <v>0.36676416231811876</v>
      </c>
      <c r="AJ264" s="58">
        <f>((SUMPRODUCT(AJ$8:AJ$217,Nutrients!$DT$8:$DT$217)+(IF($A$6=Nutrients!$B$8,Nutrients!$DT$8,Nutrients!$DT$9)*AJ$6)+(((IF($A$7=Nutrients!$B$79,Nutrients!$DT$79,(IF($A$7=Nutrients!$B$77,Nutrients!$DT$77,Nutrients!$DT$78)))))*AJ$7))/2000)</f>
        <v>0.36892653376949452</v>
      </c>
      <c r="AK264" s="58"/>
      <c r="AL264" s="58"/>
    </row>
    <row r="265" spans="1:38" x14ac:dyDescent="0.15">
      <c r="A265" s="261" t="s">
        <v>129</v>
      </c>
      <c r="B265" s="58">
        <f t="shared" ref="B265:G265" si="109">B256/B257</f>
        <v>1.3388541837486452</v>
      </c>
      <c r="C265" s="58">
        <f t="shared" si="109"/>
        <v>1.3297807909826123</v>
      </c>
      <c r="D265" s="58">
        <f t="shared" si="109"/>
        <v>1.299916377725622</v>
      </c>
      <c r="E265" s="58">
        <f t="shared" si="109"/>
        <v>1.298435572157165</v>
      </c>
      <c r="F265" s="58">
        <f t="shared" si="109"/>
        <v>1.2697835302273701</v>
      </c>
      <c r="G265" s="58">
        <f t="shared" si="109"/>
        <v>1.2680067029745312</v>
      </c>
      <c r="H265" s="437"/>
      <c r="I265" s="58">
        <f t="shared" ref="I265:N265" si="110">I256/I257</f>
        <v>1.3115911811874308</v>
      </c>
      <c r="J265" s="58">
        <f t="shared" si="110"/>
        <v>1.2916148370339409</v>
      </c>
      <c r="K265" s="58">
        <f t="shared" si="110"/>
        <v>1.2796649288447404</v>
      </c>
      <c r="L265" s="58">
        <f t="shared" si="110"/>
        <v>1.2684237788091834</v>
      </c>
      <c r="M265" s="58">
        <f t="shared" si="110"/>
        <v>1.2568886825493066</v>
      </c>
      <c r="N265" s="58">
        <f t="shared" si="110"/>
        <v>1.2452976954625814</v>
      </c>
      <c r="O265" s="437"/>
      <c r="P265" s="58">
        <f t="shared" ref="P265:AE265" si="111">P256/P257</f>
        <v>1.170370324025078</v>
      </c>
      <c r="Q265" s="58">
        <f>Q256/Q257</f>
        <v>1.1586910628335159</v>
      </c>
      <c r="R265" s="58">
        <f>R256/R257</f>
        <v>1.1468100497031881</v>
      </c>
      <c r="S265" s="58">
        <f>S256/S257</f>
        <v>1.1356434875646237</v>
      </c>
      <c r="T265" s="58">
        <f>T256/T257</f>
        <v>1.1246824713519186</v>
      </c>
      <c r="U265" s="58">
        <f>U256/U257</f>
        <v>1.1202474573812553</v>
      </c>
      <c r="V265" s="437"/>
      <c r="W265" s="58">
        <f t="shared" si="111"/>
        <v>1.182308212682752</v>
      </c>
      <c r="X265" s="58">
        <f t="shared" ref="X265:AC265" si="112">X256/X257</f>
        <v>1.170370324025078</v>
      </c>
      <c r="Y265" s="58">
        <f t="shared" si="112"/>
        <v>1.1586910628335159</v>
      </c>
      <c r="Z265" s="58">
        <f t="shared" si="112"/>
        <v>1.1468100497031881</v>
      </c>
      <c r="AA265" s="58">
        <f t="shared" si="112"/>
        <v>1.1356434875646237</v>
      </c>
      <c r="AB265" s="58">
        <f t="shared" si="112"/>
        <v>1.1246824713519186</v>
      </c>
      <c r="AC265" s="58">
        <f t="shared" si="112"/>
        <v>1.1202474573812553</v>
      </c>
      <c r="AD265" s="437"/>
      <c r="AE265" s="58">
        <f t="shared" si="111"/>
        <v>1.1859548532696578</v>
      </c>
      <c r="AF265" s="58">
        <f t="shared" ref="AF265" si="113">AF256/AF257</f>
        <v>1.184019260350021</v>
      </c>
      <c r="AG265" s="58">
        <f t="shared" ref="AG265" si="114">AG256/AG257</f>
        <v>1.1820983487549535</v>
      </c>
      <c r="AH265" s="58">
        <f t="shared" ref="AH265" si="115">AH256/AH257</f>
        <v>1.1801919520804476</v>
      </c>
      <c r="AI265" s="58">
        <f t="shared" ref="AI265" si="116">AI256/AI257</f>
        <v>1.1782999064278139</v>
      </c>
      <c r="AJ265" s="58">
        <f t="shared" ref="AJ265" si="117">AJ256/AJ257</f>
        <v>1.1743278794994958</v>
      </c>
      <c r="AK265" s="19"/>
      <c r="AL265" s="19"/>
    </row>
    <row r="266" spans="1:38" x14ac:dyDescent="0.15">
      <c r="A266" s="161" t="s">
        <v>363</v>
      </c>
      <c r="B266" s="58">
        <f t="shared" ref="B266:G266" si="118">B264/B262</f>
        <v>1.2725387094927205</v>
      </c>
      <c r="C266" s="58">
        <f t="shared" si="118"/>
        <v>1.2754952618620727</v>
      </c>
      <c r="D266" s="58">
        <f t="shared" si="118"/>
        <v>1.2561013187274095</v>
      </c>
      <c r="E266" s="58">
        <f t="shared" si="118"/>
        <v>1.265793838359907</v>
      </c>
      <c r="F266" s="58">
        <f t="shared" si="118"/>
        <v>1.2466863894140838</v>
      </c>
      <c r="G266" s="58">
        <f t="shared" si="118"/>
        <v>1.2561059096357439</v>
      </c>
      <c r="H266" s="437"/>
      <c r="I266" s="58">
        <f t="shared" ref="I266:N266" si="119">I264/I262</f>
        <v>1.237419407385838</v>
      </c>
      <c r="J266" s="58">
        <f t="shared" si="119"/>
        <v>1.2327156794491096</v>
      </c>
      <c r="K266" s="58">
        <f t="shared" si="119"/>
        <v>1.2349158573441612</v>
      </c>
      <c r="L266" s="58">
        <f t="shared" si="119"/>
        <v>1.2371632714805549</v>
      </c>
      <c r="M266" s="58">
        <f t="shared" si="119"/>
        <v>1.2393675520256988</v>
      </c>
      <c r="N266" s="58">
        <f t="shared" si="119"/>
        <v>1.2414559029813204</v>
      </c>
      <c r="O266" s="437"/>
      <c r="P266" s="58">
        <f t="shared" ref="P266:AE266" si="120">P264/P262</f>
        <v>1.1723726907813954</v>
      </c>
      <c r="Q266" s="58">
        <f>Q264/Q262</f>
        <v>1.1721491679207536</v>
      </c>
      <c r="R266" s="58">
        <f>R264/R262</f>
        <v>1.1719295917783428</v>
      </c>
      <c r="S266" s="58">
        <f>S264/S262</f>
        <v>1.1717087996223947</v>
      </c>
      <c r="T266" s="58">
        <f>T264/T262</f>
        <v>1.1714753191630973</v>
      </c>
      <c r="U266" s="58">
        <f>U264/U262</f>
        <v>1.1814732951871771</v>
      </c>
      <c r="V266" s="437"/>
      <c r="W266" s="58">
        <f t="shared" si="120"/>
        <v>1.1725974705301361</v>
      </c>
      <c r="X266" s="58">
        <f t="shared" ref="X266:AC266" si="121">X264/X262</f>
        <v>1.1723726907813954</v>
      </c>
      <c r="Y266" s="58">
        <f t="shared" si="121"/>
        <v>1.1721491679207536</v>
      </c>
      <c r="Z266" s="58">
        <f t="shared" si="121"/>
        <v>1.1719295917783428</v>
      </c>
      <c r="AA266" s="58">
        <f t="shared" si="121"/>
        <v>1.1717087996223947</v>
      </c>
      <c r="AB266" s="58">
        <f t="shared" si="121"/>
        <v>1.1714753191630973</v>
      </c>
      <c r="AC266" s="58">
        <f t="shared" si="121"/>
        <v>1.1814732951871771</v>
      </c>
      <c r="AD266" s="437"/>
      <c r="AE266" s="58">
        <f t="shared" si="120"/>
        <v>1.1820721251875674</v>
      </c>
      <c r="AF266" s="58">
        <f t="shared" ref="AF266" si="122">AF264/AF262</f>
        <v>1.1843450437242145</v>
      </c>
      <c r="AG266" s="58">
        <f t="shared" ref="AG266" si="123">AG264/AG262</f>
        <v>1.1866133511382366</v>
      </c>
      <c r="AH266" s="58">
        <f t="shared" ref="AH266" si="124">AH264/AH262</f>
        <v>1.1888770614474526</v>
      </c>
      <c r="AI266" s="58">
        <f t="shared" ref="AI266" si="125">AI264/AI262</f>
        <v>1.1911361886129186</v>
      </c>
      <c r="AJ266" s="58">
        <f t="shared" ref="AJ266" si="126">AJ264/AJ262</f>
        <v>1.1929588988076072</v>
      </c>
      <c r="AK266" s="19"/>
      <c r="AL266" s="19"/>
    </row>
    <row r="267" spans="1:38" ht="13" hidden="1" customHeight="1" x14ac:dyDescent="0.15">
      <c r="A267" s="261"/>
      <c r="B267" s="58"/>
      <c r="C267" s="58"/>
      <c r="D267" s="58"/>
      <c r="E267" s="58"/>
      <c r="F267" s="58"/>
      <c r="G267" s="58"/>
      <c r="H267" s="437"/>
      <c r="I267" s="58"/>
      <c r="J267" s="58"/>
      <c r="K267" s="58"/>
      <c r="L267" s="58"/>
      <c r="M267" s="58"/>
      <c r="N267" s="58"/>
      <c r="O267" s="437"/>
      <c r="P267" s="58"/>
      <c r="Q267" s="58"/>
      <c r="R267" s="58"/>
      <c r="S267" s="58"/>
      <c r="T267" s="58"/>
      <c r="U267" s="58"/>
      <c r="V267" s="437"/>
      <c r="W267" s="58"/>
      <c r="X267" s="58"/>
      <c r="Y267" s="58"/>
      <c r="Z267" s="58"/>
      <c r="AA267" s="58"/>
      <c r="AB267" s="58"/>
      <c r="AC267" s="58"/>
      <c r="AD267" s="437"/>
      <c r="AE267" s="58"/>
      <c r="AF267" s="58"/>
      <c r="AG267" s="58"/>
      <c r="AH267" s="58"/>
      <c r="AI267" s="58"/>
      <c r="AJ267" s="58"/>
      <c r="AK267" s="19"/>
      <c r="AL267" s="19"/>
    </row>
    <row r="268" spans="1:38" x14ac:dyDescent="0.15">
      <c r="A268" t="s">
        <v>20</v>
      </c>
      <c r="B268" s="59">
        <f>(SUMPRODUCT(B$8:B$217,Nutrients!$DX$8:$DX$217)+(IF($A$6=Nutrients!$B$8,Nutrients!$DX$8,Nutrients!$DX$9)*B$6)+(((IF($A$7=Nutrients!$B$79,Nutrients!$DX$79,(IF($A$7=Nutrients!$B$77,Nutrients!$DX$77,Nutrients!$DX$78)))))*B$7))</f>
        <v>314.47733798245508</v>
      </c>
      <c r="C268" s="59">
        <f>(SUMPRODUCT(C$8:C$217,Nutrients!$DX$8:$DX$217)+(IF($A$6=Nutrients!$B$8,Nutrients!$DX$8,Nutrients!$DX$9)*C$6)+(((IF($A$7=Nutrients!$B$79,Nutrients!$DX$79,(IF($A$7=Nutrients!$B$77,Nutrients!$DX$77,Nutrients!$DX$78)))))*C$7))</f>
        <v>325.08069506505177</v>
      </c>
      <c r="D268" s="59">
        <f>(SUMPRODUCT(D$8:D$217,Nutrients!$DX$8:$DX$217)+(IF($A$6=Nutrients!$B$8,Nutrients!$DX$8,Nutrients!$DX$9)*D$6)+(((IF($A$7=Nutrients!$B$79,Nutrients!$DX$79,(IF($A$7=Nutrients!$B$77,Nutrients!$DX$77,Nutrients!$DX$78)))))*D$7))</f>
        <v>336.58138888444603</v>
      </c>
      <c r="E268" s="59">
        <f>(SUMPRODUCT(E$8:E$217,Nutrients!$DX$8:$DX$217)+(IF($A$6=Nutrients!$B$8,Nutrients!$DX$8,Nutrients!$DX$9)*E$6)+(((IF($A$7=Nutrients!$B$79,Nutrients!$DX$79,(IF($A$7=Nutrients!$B$77,Nutrients!$DX$77,Nutrients!$DX$78)))))*E$7))</f>
        <v>348.13515767481306</v>
      </c>
      <c r="F268" s="59">
        <f>(SUMPRODUCT(F$8:F$217,Nutrients!$DX$8:$DX$217)+(IF($A$6=Nutrients!$B$8,Nutrients!$DX$8,Nutrients!$DX$9)*F$6)+(((IF($A$7=Nutrients!$B$79,Nutrients!$DX$79,(IF($A$7=Nutrients!$B$77,Nutrients!$DX$77,Nutrients!$DX$78)))))*F$7))</f>
        <v>359.85238818472089</v>
      </c>
      <c r="G268" s="59">
        <f>(SUMPRODUCT(G$8:G$217,Nutrients!$DX$8:$DX$217)+(IF($A$6=Nutrients!$B$8,Nutrients!$DX$8,Nutrients!$DX$9)*G$6)+(((IF($A$7=Nutrients!$B$79,Nutrients!$DX$79,(IF($A$7=Nutrients!$B$77,Nutrients!$DX$77,Nutrients!$DX$78)))))*G$7))</f>
        <v>371.14736292926318</v>
      </c>
      <c r="H268" s="439"/>
      <c r="I268" s="59">
        <f>(SUMPRODUCT(I$8:I$217,Nutrients!$DX$8:$DX$217)+(IF($A$6=Nutrients!$B$8,Nutrients!$DX$8,Nutrients!$DX$9)*I$6)+(((IF($A$7=Nutrients!$B$79,Nutrients!$DX$79,(IF($A$7=Nutrients!$B$77,Nutrients!$DX$77,Nutrients!$DX$78)))))*I$7))</f>
        <v>298.57397092735596</v>
      </c>
      <c r="J268" s="59">
        <f>(SUMPRODUCT(J$8:J$217,Nutrients!$DX$8:$DX$217)+(IF($A$6=Nutrients!$B$8,Nutrients!$DX$8,Nutrients!$DX$9)*J$6)+(((IF($A$7=Nutrients!$B$79,Nutrients!$DX$79,(IF($A$7=Nutrients!$B$77,Nutrients!$DX$77,Nutrients!$DX$78)))))*J$7))</f>
        <v>304.03039213205238</v>
      </c>
      <c r="K268" s="59">
        <f>(SUMPRODUCT(K$8:K$217,Nutrients!$DX$8:$DX$217)+(IF($A$6=Nutrients!$B$8,Nutrients!$DX$8,Nutrients!$DX$9)*K$6)+(((IF($A$7=Nutrients!$B$79,Nutrients!$DX$79,(IF($A$7=Nutrients!$B$77,Nutrients!$DX$77,Nutrients!$DX$78)))))*K$7))</f>
        <v>309.76961091983031</v>
      </c>
      <c r="L268" s="59">
        <f>(SUMPRODUCT(L$8:L$217,Nutrients!$DX$8:$DX$217)+(IF($A$6=Nutrients!$B$8,Nutrients!$DX$8,Nutrients!$DX$9)*L$6)+(((IF($A$7=Nutrients!$B$79,Nutrients!$DX$79,(IF($A$7=Nutrients!$B$77,Nutrients!$DX$77,Nutrients!$DX$78)))))*L$7))</f>
        <v>314.56854376768342</v>
      </c>
      <c r="M268" s="59">
        <f>(SUMPRODUCT(M$8:M$217,Nutrients!$DX$8:$DX$217)+(IF($A$6=Nutrients!$B$8,Nutrients!$DX$8,Nutrients!$DX$9)*M$6)+(((IF($A$7=Nutrients!$B$79,Nutrients!$DX$79,(IF($A$7=Nutrients!$B$77,Nutrients!$DX$77,Nutrients!$DX$78)))))*M$7))</f>
        <v>320.30776255546141</v>
      </c>
      <c r="N268" s="59">
        <f>(SUMPRODUCT(N$8:N$217,Nutrients!$DX$8:$DX$217)+(IF($A$6=Nutrients!$B$8,Nutrients!$DX$8,Nutrients!$DX$9)*N$6)+(((IF($A$7=Nutrients!$B$79,Nutrients!$DX$79,(IF($A$7=Nutrients!$B$77,Nutrients!$DX$77,Nutrients!$DX$78)))))*N$7))</f>
        <v>325.74631669067139</v>
      </c>
      <c r="O268" s="439"/>
      <c r="P268" s="59">
        <f>(SUMPRODUCT(P$8:P$217,Nutrients!$DX$8:$DX$217)+(IF($A$6=Nutrients!$B$8,Nutrients!$DX$8,Nutrients!$DX$9)*P$6)+(((IF($A$7=Nutrients!$B$79,Nutrients!$DX$79,(IF($A$7=Nutrients!$B$77,Nutrients!$DX$77,Nutrients!$DX$78)))))*P$7))</f>
        <v>285.81164756029204</v>
      </c>
      <c r="Q268" s="59">
        <f>(SUMPRODUCT(Q$8:Q$217,Nutrients!$DX$8:$DX$217)+(IF($A$6=Nutrients!$B$8,Nutrients!$DX$8,Nutrients!$DX$9)*Q$6)+(((IF($A$7=Nutrients!$B$79,Nutrients!$DX$79,(IF($A$7=Nutrients!$B$77,Nutrients!$DX$77,Nutrients!$DX$78)))))*Q$7))</f>
        <v>290.76523603364285</v>
      </c>
      <c r="R268" s="59">
        <f>(SUMPRODUCT(R$8:R$217,Nutrients!$DX$8:$DX$217)+(IF($A$6=Nutrients!$B$8,Nutrients!$DX$8,Nutrients!$DX$9)*R$6)+(((IF($A$7=Nutrients!$B$79,Nutrients!$DX$79,(IF($A$7=Nutrients!$B$77,Nutrients!$DX$77,Nutrients!$DX$78)))))*R$7))</f>
        <v>296.12083688566173</v>
      </c>
      <c r="S268" s="59">
        <f>(SUMPRODUCT(S$8:S$217,Nutrients!$DX$8:$DX$217)+(IF($A$6=Nutrients!$B$8,Nutrients!$DX$8,Nutrients!$DX$9)*S$6)+(((IF($A$7=Nutrients!$B$79,Nutrients!$DX$79,(IF($A$7=Nutrients!$B$77,Nutrients!$DX$77,Nutrients!$DX$78)))))*S$7))</f>
        <v>301.07442535901254</v>
      </c>
      <c r="T268" s="59">
        <f>(SUMPRODUCT(T$8:T$217,Nutrients!$DX$8:$DX$217)+(IF($A$6=Nutrients!$B$8,Nutrients!$DX$8,Nutrients!$DX$9)*T$6)+(((IF($A$7=Nutrients!$B$79,Nutrients!$DX$79,(IF($A$7=Nutrients!$B$77,Nutrients!$DX$77,Nutrients!$DX$78)))))*T$7))</f>
        <v>305.6398792231065</v>
      </c>
      <c r="U268" s="59">
        <f>(SUMPRODUCT(U$8:U$217,Nutrients!$DX$8:$DX$217)+(IF($A$6=Nutrients!$B$8,Nutrients!$DX$8,Nutrients!$DX$9)*U$6)+(((IF($A$7=Nutrients!$B$79,Nutrients!$DX$79,(IF($A$7=Nutrients!$B$77,Nutrients!$DX$77,Nutrients!$DX$78)))))*U$7))</f>
        <v>311.40353215983339</v>
      </c>
      <c r="V268" s="439"/>
      <c r="W268" s="59">
        <f>(SUMPRODUCT(W$8:W$217,Nutrients!$DX$8:$DX$217)+(IF($A$6=Nutrients!$B$8,Nutrients!$DX$8,Nutrients!$DX$9)*W$6)+(((IF($A$7=Nutrients!$B$79,Nutrients!$DX$79,(IF($A$7=Nutrients!$B$77,Nutrients!$DX$77,Nutrients!$DX$78)))))*W$7))</f>
        <v>280.75937084694129</v>
      </c>
      <c r="X268" s="59">
        <f>(SUMPRODUCT(X$8:X$217,Nutrients!$DX$8:$DX$217)+(IF($A$6=Nutrients!$B$8,Nutrients!$DX$8,Nutrients!$DX$9)*X$6)+(((IF($A$7=Nutrients!$B$79,Nutrients!$DX$79,(IF($A$7=Nutrients!$B$77,Nutrients!$DX$77,Nutrients!$DX$78)))))*X$7))</f>
        <v>285.81164756029204</v>
      </c>
      <c r="Y268" s="59">
        <f>(SUMPRODUCT(Y$8:Y$217,Nutrients!$DX$8:$DX$217)+(IF($A$6=Nutrients!$B$8,Nutrients!$DX$8,Nutrients!$DX$9)*Y$6)+(((IF($A$7=Nutrients!$B$79,Nutrients!$DX$79,(IF($A$7=Nutrients!$B$77,Nutrients!$DX$77,Nutrients!$DX$78)))))*Y$7))</f>
        <v>290.76523603364285</v>
      </c>
      <c r="Z268" s="59">
        <f>(SUMPRODUCT(Z$8:Z$217,Nutrients!$DX$8:$DX$217)+(IF($A$6=Nutrients!$B$8,Nutrients!$DX$8,Nutrients!$DX$9)*Z$6)+(((IF($A$7=Nutrients!$B$79,Nutrients!$DX$79,(IF($A$7=Nutrients!$B$77,Nutrients!$DX$77,Nutrients!$DX$78)))))*Z$7))</f>
        <v>296.12083688566173</v>
      </c>
      <c r="AA268" s="59">
        <f>(SUMPRODUCT(AA$8:AA$217,Nutrients!$DX$8:$DX$217)+(IF($A$6=Nutrients!$B$8,Nutrients!$DX$8,Nutrients!$DX$9)*AA$6)+(((IF($A$7=Nutrients!$B$79,Nutrients!$DX$79,(IF($A$7=Nutrients!$B$77,Nutrients!$DX$77,Nutrients!$DX$78)))))*AA$7))</f>
        <v>301.07442535901254</v>
      </c>
      <c r="AB268" s="59">
        <f>(SUMPRODUCT(AB$8:AB$217,Nutrients!$DX$8:$DX$217)+(IF($A$6=Nutrients!$B$8,Nutrients!$DX$8,Nutrients!$DX$9)*AB$6)+(((IF($A$7=Nutrients!$B$79,Nutrients!$DX$79,(IF($A$7=Nutrients!$B$77,Nutrients!$DX$77,Nutrients!$DX$78)))))*AB$7))</f>
        <v>305.6398792231065</v>
      </c>
      <c r="AC268" s="59">
        <f>(SUMPRODUCT(AC$8:AC$217,Nutrients!$DX$8:$DX$217)+(IF($A$6=Nutrients!$B$8,Nutrients!$DX$8,Nutrients!$DX$9)*AC$6)+(((IF($A$7=Nutrients!$B$79,Nutrients!$DX$79,(IF($A$7=Nutrients!$B$77,Nutrients!$DX$77,Nutrients!$DX$78)))))*AC$7))</f>
        <v>311.40353215983339</v>
      </c>
      <c r="AD268" s="439"/>
      <c r="AE268" s="59">
        <f>(SUMPRODUCT(AE$8:AE$217,Nutrients!$DX$8:$DX$217)+(IF($A$6=Nutrients!$B$8,Nutrients!$DX$8,Nutrients!$DX$9)*AE$6)+(((IF($A$7=Nutrients!$B$79,Nutrients!$DX$79,(IF($A$7=Nutrients!$B$77,Nutrients!$DX$77,Nutrients!$DX$78)))))*AE$7))</f>
        <v>269.1262423450641</v>
      </c>
      <c r="AF268" s="59">
        <f>(SUMPRODUCT(AF$8:AF$217,Nutrients!$DX$8:$DX$217)+(IF($A$6=Nutrients!$B$8,Nutrients!$DX$8,Nutrients!$DX$9)*AF$6)+(((IF($A$7=Nutrients!$B$79,Nutrients!$DX$79,(IF($A$7=Nutrients!$B$77,Nutrients!$DX$77,Nutrients!$DX$78)))))*AF$7))</f>
        <v>273.89426716246436</v>
      </c>
      <c r="AG268" s="59">
        <f>(SUMPRODUCT(AG$8:AG$217,Nutrients!$DX$8:$DX$217)+(IF($A$6=Nutrients!$B$8,Nutrients!$DX$8,Nutrients!$DX$9)*AG$6)+(((IF($A$7=Nutrients!$B$79,Nutrients!$DX$79,(IF($A$7=Nutrients!$B$77,Nutrients!$DX$77,Nutrients!$DX$78)))))*AG$7))</f>
        <v>278.66229197986462</v>
      </c>
      <c r="AH268" s="59">
        <f>(SUMPRODUCT(AH$8:AH$217,Nutrients!$DX$8:$DX$217)+(IF($A$6=Nutrients!$B$8,Nutrients!$DX$8,Nutrients!$DX$9)*AH$6)+(((IF($A$7=Nutrients!$B$79,Nutrients!$DX$79,(IF($A$7=Nutrients!$B$77,Nutrients!$DX$77,Nutrients!$DX$78)))))*AH$7))</f>
        <v>283.43031679726482</v>
      </c>
      <c r="AI268" s="59">
        <f>(SUMPRODUCT(AI$8:AI$217,Nutrients!$DX$8:$DX$217)+(IF($A$6=Nutrients!$B$8,Nutrients!$DX$8,Nutrients!$DX$9)*AI$6)+(((IF($A$7=Nutrients!$B$79,Nutrients!$DX$79,(IF($A$7=Nutrients!$B$77,Nutrients!$DX$77,Nutrients!$DX$78)))))*AI$7))</f>
        <v>288.19834161466514</v>
      </c>
      <c r="AJ268" s="59">
        <f>(SUMPRODUCT(AJ$8:AJ$217,Nutrients!$DX$8:$DX$217)+(IF($A$6=Nutrients!$B$8,Nutrients!$DX$8,Nutrients!$DX$9)*AJ$6)+(((IF($A$7=Nutrients!$B$79,Nutrients!$DX$79,(IF($A$7=Nutrients!$B$77,Nutrients!$DX$77,Nutrients!$DX$78)))))*AJ$7))</f>
        <v>293.578761304279</v>
      </c>
      <c r="AK268" s="19"/>
      <c r="AL268" s="19"/>
    </row>
    <row r="269" spans="1:38" x14ac:dyDescent="0.15">
      <c r="A269" t="s">
        <v>21</v>
      </c>
      <c r="B269" s="60">
        <f>IF(B$4="","",B268+Nutrients!$DV$5)</f>
        <v>326.47733798245508</v>
      </c>
      <c r="C269" s="60">
        <f>IF(C$4="","",C268+Nutrients!$DV$5)</f>
        <v>337.08069506505177</v>
      </c>
      <c r="D269" s="60">
        <f>IF(D$4="","",D268+Nutrients!$DV$5)</f>
        <v>348.58138888444603</v>
      </c>
      <c r="E269" s="60">
        <f>IF(E$4="","",E268+Nutrients!$DV$5)</f>
        <v>360.13515767481306</v>
      </c>
      <c r="F269" s="60">
        <f>IF(F$4="","",F268+Nutrients!$DV$5)</f>
        <v>371.85238818472089</v>
      </c>
      <c r="G269" s="60">
        <f>IF(G$4="","",G268+Nutrients!$DV$5)</f>
        <v>383.14736292926318</v>
      </c>
      <c r="H269" s="440"/>
      <c r="I269" s="60">
        <f>IF(I$4="","",I268+Nutrients!$DV$5)</f>
        <v>310.57397092735596</v>
      </c>
      <c r="J269" s="60">
        <f>IF(J$4="","",J268+Nutrients!$DV$5)</f>
        <v>316.03039213205238</v>
      </c>
      <c r="K269" s="60">
        <f>IF(K$4="","",K268+Nutrients!$DV$5)</f>
        <v>321.76961091983031</v>
      </c>
      <c r="L269" s="60">
        <f>IF(L$4="","",L268+Nutrients!$DV$5)</f>
        <v>326.56854376768342</v>
      </c>
      <c r="M269" s="60">
        <f>IF(M$4="","",M268+Nutrients!$DV$5)</f>
        <v>332.30776255546141</v>
      </c>
      <c r="N269" s="60">
        <f>IF(N$4="","",N268+Nutrients!$DV$5)</f>
        <v>337.74631669067139</v>
      </c>
      <c r="O269" s="440"/>
      <c r="P269" s="60">
        <f>IF(P$4="","",P268+Nutrients!$DV$5)</f>
        <v>297.81164756029204</v>
      </c>
      <c r="Q269" s="60">
        <f>IF(Q$4="","",Q268+Nutrients!$DV$5)</f>
        <v>302.76523603364285</v>
      </c>
      <c r="R269" s="60">
        <f>IF(R$4="","",R268+Nutrients!$DV$5)</f>
        <v>308.12083688566173</v>
      </c>
      <c r="S269" s="60">
        <f>IF(S$4="","",S268+Nutrients!$DV$5)</f>
        <v>313.07442535901254</v>
      </c>
      <c r="T269" s="60">
        <f>IF(T$4="","",T268+Nutrients!$DV$5)</f>
        <v>317.6398792231065</v>
      </c>
      <c r="U269" s="60">
        <f>IF(U$4="","",U268+Nutrients!$DV$5)</f>
        <v>323.40353215983339</v>
      </c>
      <c r="V269" s="440"/>
      <c r="W269" s="60">
        <f>IF(W$4="","",W268+Nutrients!$DV$5)</f>
        <v>292.75937084694129</v>
      </c>
      <c r="X269" s="60">
        <f>IF(X$4="","",X268+Nutrients!$DV$5)</f>
        <v>297.81164756029204</v>
      </c>
      <c r="Y269" s="60">
        <f>IF(Y$4="","",Y268+Nutrients!$DV$5)</f>
        <v>302.76523603364285</v>
      </c>
      <c r="Z269" s="60">
        <f>IF(Z$4="","",Z268+Nutrients!$DV$5)</f>
        <v>308.12083688566173</v>
      </c>
      <c r="AA269" s="60">
        <f>IF(AA$4="","",AA268+Nutrients!$DV$5)</f>
        <v>313.07442535901254</v>
      </c>
      <c r="AB269" s="60">
        <f>IF(AB$4="","",AB268+Nutrients!$DV$5)</f>
        <v>317.6398792231065</v>
      </c>
      <c r="AC269" s="60">
        <f>IF(AC$4="","",AC268+Nutrients!$DV$5)</f>
        <v>323.40353215983339</v>
      </c>
      <c r="AD269" s="440"/>
      <c r="AE269" s="60">
        <f>IF(AE$4="","",AE268+Nutrients!$DV$5)</f>
        <v>281.1262423450641</v>
      </c>
      <c r="AF269" s="60">
        <f>IF(AF$4="","",AF268+Nutrients!$DV$5)</f>
        <v>285.89426716246436</v>
      </c>
      <c r="AG269" s="60">
        <f>IF(AG$4="","",AG268+Nutrients!$DV$5)</f>
        <v>290.66229197986462</v>
      </c>
      <c r="AH269" s="60">
        <f>IF(AH$4="","",AH268+Nutrients!$DV$5)</f>
        <v>295.43031679726482</v>
      </c>
      <c r="AI269" s="60">
        <f>IF(AI$4="","",AI268+Nutrients!$DV$5)</f>
        <v>300.19834161466514</v>
      </c>
      <c r="AJ269" s="60">
        <f>IF(AJ$4="","",AJ268+Nutrients!$DV$5)</f>
        <v>305.578761304279</v>
      </c>
      <c r="AK269" s="19"/>
      <c r="AL269" s="19"/>
    </row>
    <row r="270" spans="1:38" x14ac:dyDescent="0.15">
      <c r="A270" s="261" t="s">
        <v>104</v>
      </c>
      <c r="B270" s="22">
        <v>50.010279605263136</v>
      </c>
      <c r="C270" s="22">
        <v>50.010279605263136</v>
      </c>
      <c r="D270" s="22">
        <v>50.010279605263136</v>
      </c>
      <c r="E270" s="22">
        <v>50.010279605263136</v>
      </c>
      <c r="F270" s="22">
        <v>50.010279605263136</v>
      </c>
      <c r="G270" s="421">
        <v>50.010279605263136</v>
      </c>
      <c r="H270" s="426"/>
      <c r="I270" s="423">
        <v>50.010279605263136</v>
      </c>
      <c r="J270" s="22">
        <v>50.010279605263136</v>
      </c>
      <c r="K270" s="22">
        <v>50.010279605263136</v>
      </c>
      <c r="L270" s="22">
        <v>50.010279605263136</v>
      </c>
      <c r="M270" s="22">
        <v>50.010279605263136</v>
      </c>
      <c r="N270" s="421">
        <v>50.010279605263136</v>
      </c>
      <c r="O270" s="426"/>
      <c r="P270" s="423">
        <v>150</v>
      </c>
      <c r="Q270" s="22">
        <v>150</v>
      </c>
      <c r="R270" s="22">
        <v>150</v>
      </c>
      <c r="S270" s="22">
        <v>150</v>
      </c>
      <c r="T270" s="22">
        <v>150</v>
      </c>
      <c r="U270" s="421">
        <v>150</v>
      </c>
      <c r="V270" s="426"/>
      <c r="W270" s="423">
        <v>150</v>
      </c>
      <c r="X270" s="22">
        <v>150</v>
      </c>
      <c r="Y270" s="22">
        <v>150</v>
      </c>
      <c r="Z270" s="22">
        <v>150</v>
      </c>
      <c r="AA270" s="22">
        <v>150</v>
      </c>
      <c r="AB270" s="421">
        <v>150</v>
      </c>
      <c r="AC270" s="22">
        <v>150</v>
      </c>
      <c r="AD270" s="426"/>
      <c r="AE270" s="423">
        <v>150</v>
      </c>
      <c r="AF270" s="22">
        <v>150</v>
      </c>
      <c r="AG270" s="22">
        <v>150</v>
      </c>
      <c r="AH270" s="22">
        <v>150</v>
      </c>
      <c r="AI270" s="22">
        <v>150</v>
      </c>
      <c r="AJ270" s="22">
        <v>150</v>
      </c>
      <c r="AK270" s="82">
        <f>SUM(N270:AJ270)</f>
        <v>2900.0102796052633</v>
      </c>
      <c r="AL270" s="82" t="e">
        <f>SUM(#REF!)</f>
        <v>#REF!</v>
      </c>
    </row>
    <row r="271" spans="1:38" x14ac:dyDescent="0.15">
      <c r="A271" s="261" t="s">
        <v>105</v>
      </c>
      <c r="B271" s="60">
        <f t="shared" ref="B271:G271" si="127">IF(B$270="","",B270*B269/2000)</f>
        <v>8.1636114786422862</v>
      </c>
      <c r="C271" s="60">
        <f t="shared" si="127"/>
        <v>8.4287499048698411</v>
      </c>
      <c r="D271" s="60">
        <f t="shared" si="127"/>
        <v>8.7163263616510545</v>
      </c>
      <c r="E271" s="60">
        <f t="shared" si="127"/>
        <v>9.0052299655014636</v>
      </c>
      <c r="F271" s="60">
        <f t="shared" si="127"/>
        <v>9.298220952501369</v>
      </c>
      <c r="G271" s="60">
        <f t="shared" si="127"/>
        <v>9.5806533750558405</v>
      </c>
      <c r="H271" s="440"/>
      <c r="I271" s="60">
        <f t="shared" ref="I271:N271" si="128">IF(I$270="","",I270*I269/2000)</f>
        <v>7.7659455620969684</v>
      </c>
      <c r="J271" s="60">
        <f t="shared" si="128"/>
        <v>7.9023841371424455</v>
      </c>
      <c r="K271" s="60">
        <f t="shared" si="128"/>
        <v>8.0458941052887223</v>
      </c>
      <c r="L271" s="60">
        <f t="shared" si="128"/>
        <v>8.1658920920527294</v>
      </c>
      <c r="M271" s="60">
        <f t="shared" si="128"/>
        <v>8.3094020601990088</v>
      </c>
      <c r="N271" s="60">
        <f t="shared" si="128"/>
        <v>8.4453938666741148</v>
      </c>
      <c r="O271" s="440"/>
      <c r="P271" s="60">
        <f t="shared" ref="P271:U271" si="129">IF(P$270="","",P270*P269/2000)</f>
        <v>22.335873567021903</v>
      </c>
      <c r="Q271" s="60">
        <f t="shared" si="129"/>
        <v>22.707392702523215</v>
      </c>
      <c r="R271" s="60">
        <f t="shared" si="129"/>
        <v>23.109062766424632</v>
      </c>
      <c r="S271" s="60">
        <f t="shared" si="129"/>
        <v>23.480581901925941</v>
      </c>
      <c r="T271" s="60">
        <f t="shared" si="129"/>
        <v>23.822990941732986</v>
      </c>
      <c r="U271" s="60">
        <f t="shared" si="129"/>
        <v>24.255264911987506</v>
      </c>
      <c r="V271" s="440"/>
      <c r="W271" s="60">
        <f t="shared" ref="W271:AC271" si="130">IF(W$270="","",W270*W269/2000)</f>
        <v>21.956952813520598</v>
      </c>
      <c r="X271" s="60">
        <f t="shared" si="130"/>
        <v>22.335873567021903</v>
      </c>
      <c r="Y271" s="60">
        <f t="shared" si="130"/>
        <v>22.707392702523215</v>
      </c>
      <c r="Z271" s="60">
        <f t="shared" si="130"/>
        <v>23.109062766424632</v>
      </c>
      <c r="AA271" s="60">
        <f t="shared" si="130"/>
        <v>23.480581901925941</v>
      </c>
      <c r="AB271" s="60">
        <f t="shared" si="130"/>
        <v>23.822990941732986</v>
      </c>
      <c r="AC271" s="60">
        <f t="shared" si="130"/>
        <v>24.255264911987506</v>
      </c>
      <c r="AD271" s="440"/>
      <c r="AE271" s="60">
        <f t="shared" ref="AE271:AJ271" si="131">IF(AE$270="","",AE270*AE269/2000)</f>
        <v>21.084468175879806</v>
      </c>
      <c r="AF271" s="60">
        <f t="shared" si="131"/>
        <v>21.442070037184827</v>
      </c>
      <c r="AG271" s="60">
        <f t="shared" si="131"/>
        <v>21.799671898489848</v>
      </c>
      <c r="AH271" s="60">
        <f t="shared" si="131"/>
        <v>22.157273759794862</v>
      </c>
      <c r="AI271" s="60">
        <f t="shared" si="131"/>
        <v>22.514875621099886</v>
      </c>
      <c r="AJ271" s="60">
        <f t="shared" si="131"/>
        <v>22.918407097820925</v>
      </c>
      <c r="AK271" s="64">
        <f>SUM(N271:AJ271)</f>
        <v>441.7414468536972</v>
      </c>
      <c r="AL271" s="64" t="e">
        <f>SUM(#REF!)</f>
        <v>#REF!</v>
      </c>
    </row>
    <row r="272" spans="1:38" x14ac:dyDescent="0.15">
      <c r="AK272" s="10">
        <f>AK270/(AJ5-N4)</f>
        <v>14.500051398026317</v>
      </c>
      <c r="AL272" s="10" t="e">
        <f>AL270/(#REF!-#REF!)</f>
        <v>#REF!</v>
      </c>
    </row>
    <row r="274" spans="1:38" x14ac:dyDescent="0.15">
      <c r="A274" s="28" t="s">
        <v>44</v>
      </c>
      <c r="B274" s="28"/>
      <c r="C274" s="28"/>
      <c r="D274" s="28"/>
      <c r="E274" s="28"/>
      <c r="F274" s="28"/>
      <c r="G274" s="229"/>
      <c r="I274" s="229"/>
      <c r="J274" s="28"/>
      <c r="K274" s="28"/>
      <c r="L274" s="28"/>
      <c r="M274" s="28"/>
      <c r="N274" s="229"/>
      <c r="P274" s="229"/>
      <c r="Q274" s="28"/>
      <c r="R274" s="28"/>
      <c r="S274" s="28"/>
      <c r="T274" s="28"/>
      <c r="U274" s="229"/>
      <c r="W274" s="229"/>
      <c r="X274" s="28"/>
      <c r="Y274" s="28"/>
      <c r="Z274" s="28"/>
      <c r="AA274" s="28"/>
      <c r="AB274" s="229"/>
      <c r="AC274" s="28"/>
      <c r="AE274" s="229"/>
      <c r="AF274" s="28"/>
      <c r="AG274" s="28"/>
      <c r="AH274" s="28"/>
      <c r="AI274" s="28"/>
      <c r="AJ274" s="28"/>
    </row>
    <row r="275" spans="1:38" x14ac:dyDescent="0.15">
      <c r="A275" s="102" t="s">
        <v>394</v>
      </c>
      <c r="B275" s="25">
        <v>0.55000000000000004</v>
      </c>
      <c r="C275" s="25">
        <v>0.55000000000000004</v>
      </c>
      <c r="D275" s="25">
        <v>0.55000000000000004</v>
      </c>
      <c r="E275" s="25">
        <v>0.55000000000000004</v>
      </c>
      <c r="F275" s="25">
        <v>0.55000000000000004</v>
      </c>
      <c r="G275" s="25">
        <v>0.55000000000000004</v>
      </c>
      <c r="H275" s="441"/>
      <c r="I275" s="25">
        <v>0.55000000000000004</v>
      </c>
      <c r="J275" s="25">
        <v>0.55000000000000004</v>
      </c>
      <c r="K275" s="25">
        <v>0.55000000000000004</v>
      </c>
      <c r="L275" s="25">
        <v>0.55000000000000004</v>
      </c>
      <c r="M275" s="25">
        <v>0.55000000000000004</v>
      </c>
      <c r="N275" s="25">
        <v>0.55000000000000004</v>
      </c>
      <c r="O275" s="441"/>
      <c r="P275" s="25">
        <v>0.55000000000000004</v>
      </c>
      <c r="Q275" s="25">
        <v>0.55000000000000004</v>
      </c>
      <c r="R275" s="25">
        <v>0.55000000000000004</v>
      </c>
      <c r="S275" s="25">
        <v>0.55000000000000004</v>
      </c>
      <c r="T275" s="25">
        <v>0.55000000000000004</v>
      </c>
      <c r="U275" s="25">
        <v>0.55000000000000004</v>
      </c>
      <c r="V275" s="441"/>
      <c r="W275" s="25">
        <v>0.55000000000000004</v>
      </c>
      <c r="X275" s="25">
        <v>0.55000000000000004</v>
      </c>
      <c r="Y275" s="25">
        <v>0.55000000000000004</v>
      </c>
      <c r="Z275" s="25">
        <v>0.55000000000000004</v>
      </c>
      <c r="AA275" s="25">
        <v>0.55000000000000004</v>
      </c>
      <c r="AB275" s="25">
        <v>0.55000000000000004</v>
      </c>
      <c r="AC275" s="25">
        <v>0.55000000000000004</v>
      </c>
      <c r="AD275" s="441"/>
      <c r="AE275" s="25">
        <v>0.55000000000000004</v>
      </c>
      <c r="AF275" s="25">
        <v>0.55000000000000004</v>
      </c>
      <c r="AG275" s="25">
        <v>0.55000000000000004</v>
      </c>
      <c r="AH275" s="25">
        <v>0.55000000000000004</v>
      </c>
      <c r="AI275" s="25">
        <v>0.55000000000000004</v>
      </c>
      <c r="AJ275" s="25">
        <v>0.55000000000000004</v>
      </c>
    </row>
    <row r="276" spans="1:38" x14ac:dyDescent="0.15">
      <c r="A276" s="102" t="s">
        <v>393</v>
      </c>
      <c r="B276" s="25"/>
      <c r="C276" s="25"/>
      <c r="D276" s="25"/>
      <c r="E276" s="25"/>
      <c r="F276" s="25"/>
      <c r="G276" s="25"/>
      <c r="H276" s="441"/>
      <c r="I276" s="25"/>
      <c r="J276" s="25"/>
      <c r="K276" s="25"/>
      <c r="L276" s="25"/>
      <c r="M276" s="25"/>
      <c r="N276" s="25"/>
      <c r="O276" s="441"/>
      <c r="P276" s="25"/>
      <c r="Q276" s="25"/>
      <c r="R276" s="25"/>
      <c r="S276" s="25"/>
      <c r="T276" s="25"/>
      <c r="U276" s="25"/>
      <c r="V276" s="441"/>
      <c r="W276" s="25"/>
      <c r="X276" s="25"/>
      <c r="Y276" s="25"/>
      <c r="Z276" s="25"/>
      <c r="AA276" s="25"/>
      <c r="AB276" s="25"/>
      <c r="AC276" s="25"/>
      <c r="AD276" s="441"/>
      <c r="AE276" s="25"/>
      <c r="AF276" s="25"/>
      <c r="AG276" s="25"/>
      <c r="AH276" s="25"/>
      <c r="AI276" s="25"/>
      <c r="AJ276" s="25"/>
    </row>
    <row r="277" spans="1:38" x14ac:dyDescent="0.15">
      <c r="A277" s="103" t="s">
        <v>392</v>
      </c>
      <c r="B277" s="25">
        <f t="shared" ref="B277:G277" si="132" xml:space="preserve"> 0.000000416*((B4+B5)/2)^2 - 0.000036654*((B4+B5)/2) + 0.280606061</f>
        <v>0.27998115100000004</v>
      </c>
      <c r="C277" s="25">
        <f t="shared" si="132"/>
        <v>0.27998115100000004</v>
      </c>
      <c r="D277" s="25">
        <f t="shared" si="132"/>
        <v>0.27998115100000004</v>
      </c>
      <c r="E277" s="25">
        <f t="shared" si="132"/>
        <v>0.27998115100000004</v>
      </c>
      <c r="F277" s="25">
        <f t="shared" si="132"/>
        <v>0.27998115100000004</v>
      </c>
      <c r="G277" s="25">
        <f t="shared" si="132"/>
        <v>0.27998115100000004</v>
      </c>
      <c r="H277" s="441"/>
      <c r="I277" s="25">
        <f t="shared" ref="I277:N277" si="133" xml:space="preserve"> 0.000000416*((I4+I5)/2)^2 - 0.000036654*((I4+I5)/2) + 0.280606061</f>
        <v>0.28110066100000003</v>
      </c>
      <c r="J277" s="25">
        <f t="shared" si="133"/>
        <v>0.28110066100000003</v>
      </c>
      <c r="K277" s="25">
        <f t="shared" si="133"/>
        <v>0.28110066100000003</v>
      </c>
      <c r="L277" s="25">
        <f t="shared" si="133"/>
        <v>0.28110066100000003</v>
      </c>
      <c r="M277" s="25">
        <f t="shared" si="133"/>
        <v>0.28110066100000003</v>
      </c>
      <c r="N277" s="25">
        <f t="shared" si="133"/>
        <v>0.28110066100000003</v>
      </c>
      <c r="O277" s="441"/>
      <c r="P277" s="25">
        <f t="shared" ref="P277:U277" si="134" xml:space="preserve"> 0.000000416*((P4+P5)/2)^2 - 0.000036654*((P4+P5)/2) + 0.280606061</f>
        <v>0.28403763100000001</v>
      </c>
      <c r="Q277" s="25">
        <f t="shared" si="134"/>
        <v>0.28403763100000001</v>
      </c>
      <c r="R277" s="25">
        <f t="shared" si="134"/>
        <v>0.28403763100000001</v>
      </c>
      <c r="S277" s="25">
        <f t="shared" si="134"/>
        <v>0.28403763100000001</v>
      </c>
      <c r="T277" s="25">
        <f t="shared" si="134"/>
        <v>0.28403763100000001</v>
      </c>
      <c r="U277" s="25">
        <f t="shared" si="134"/>
        <v>0.28403763100000001</v>
      </c>
      <c r="V277" s="441"/>
      <c r="W277" s="25">
        <f t="shared" ref="W277:AC277" si="135" xml:space="preserve"> 0.000000416*((W4+W5)/2)^2 - 0.000036654*((W4+W5)/2) + 0.280606061</f>
        <v>0.28927693100000001</v>
      </c>
      <c r="X277" s="25">
        <f t="shared" si="135"/>
        <v>0.28927693100000001</v>
      </c>
      <c r="Y277" s="25">
        <f t="shared" si="135"/>
        <v>0.28927693100000001</v>
      </c>
      <c r="Z277" s="25">
        <f t="shared" si="135"/>
        <v>0.28927693100000001</v>
      </c>
      <c r="AA277" s="25">
        <f t="shared" si="135"/>
        <v>0.28927693100000001</v>
      </c>
      <c r="AB277" s="25">
        <f t="shared" si="135"/>
        <v>0.28927693100000001</v>
      </c>
      <c r="AC277" s="25">
        <f t="shared" si="135"/>
        <v>0.28927693100000001</v>
      </c>
      <c r="AD277" s="441"/>
      <c r="AE277" s="25">
        <f t="shared" ref="AE277:AJ277" si="136" xml:space="preserve"> 0.000000416*((AE4+AE5)/2)^2 - 0.000036654*((AE4+AE5)/2) + 0.280606061</f>
        <v>0.29830969100000004</v>
      </c>
      <c r="AF277" s="25">
        <f t="shared" si="136"/>
        <v>0.29830969100000004</v>
      </c>
      <c r="AG277" s="25">
        <f t="shared" si="136"/>
        <v>0.29830969100000004</v>
      </c>
      <c r="AH277" s="25">
        <f t="shared" si="136"/>
        <v>0.29830969100000004</v>
      </c>
      <c r="AI277" s="25">
        <f t="shared" si="136"/>
        <v>0.29830969100000004</v>
      </c>
      <c r="AJ277" s="25">
        <f t="shared" si="136"/>
        <v>0.29830969100000004</v>
      </c>
    </row>
    <row r="278" spans="1:38" x14ac:dyDescent="0.15">
      <c r="A278" s="103" t="s">
        <v>391</v>
      </c>
      <c r="B278" s="25">
        <f t="shared" ref="B278:G278" si="137">( 0.000002335*((B4+B5)/2)^2 - 0.000572488*((B4+B5)/2) + 0.588523784)-0.01</f>
        <v>0.55117743900000005</v>
      </c>
      <c r="C278" s="25">
        <f t="shared" si="137"/>
        <v>0.55117743900000005</v>
      </c>
      <c r="D278" s="25">
        <f t="shared" si="137"/>
        <v>0.55117743900000005</v>
      </c>
      <c r="E278" s="25">
        <f t="shared" si="137"/>
        <v>0.55117743900000005</v>
      </c>
      <c r="F278" s="25">
        <f t="shared" si="137"/>
        <v>0.55117743900000005</v>
      </c>
      <c r="G278" s="25">
        <f t="shared" si="137"/>
        <v>0.55117743900000005</v>
      </c>
      <c r="H278" s="441"/>
      <c r="I278" s="25">
        <f t="shared" ref="I278:N278" si="138">( 0.000002335*((I4+I5)/2)^2 - 0.000572488*((I4+I5)/2) + 0.588523784)-0.01</f>
        <v>0.54462498400000003</v>
      </c>
      <c r="J278" s="25">
        <f t="shared" si="138"/>
        <v>0.54462498400000003</v>
      </c>
      <c r="K278" s="25">
        <f t="shared" si="138"/>
        <v>0.54462498400000003</v>
      </c>
      <c r="L278" s="25">
        <f t="shared" si="138"/>
        <v>0.54462498400000003</v>
      </c>
      <c r="M278" s="25">
        <f t="shared" si="138"/>
        <v>0.54462498400000003</v>
      </c>
      <c r="N278" s="25">
        <f t="shared" si="138"/>
        <v>0.54462498400000003</v>
      </c>
      <c r="O278" s="441"/>
      <c r="P278" s="25">
        <f t="shared" ref="P278:U278" si="139">( 0.000002335*((P4+P5)/2)^2 - 0.000572488*((P4+P5)/2) + 0.588523784)-0.01</f>
        <v>0.54460639900000007</v>
      </c>
      <c r="Q278" s="25">
        <f t="shared" si="139"/>
        <v>0.54460639900000007</v>
      </c>
      <c r="R278" s="25">
        <f t="shared" si="139"/>
        <v>0.54460639900000007</v>
      </c>
      <c r="S278" s="25">
        <f t="shared" si="139"/>
        <v>0.54460639900000007</v>
      </c>
      <c r="T278" s="25">
        <f t="shared" si="139"/>
        <v>0.54460639900000007</v>
      </c>
      <c r="U278" s="25">
        <f t="shared" si="139"/>
        <v>0.54460639900000007</v>
      </c>
      <c r="V278" s="441"/>
      <c r="W278" s="25">
        <f t="shared" ref="W278:AC278" si="140">( 0.000002335*((W4+W5)/2)^2 - 0.000572488*((W4+W5)/2) + 0.588523784)-0.01</f>
        <v>0.555676999</v>
      </c>
      <c r="X278" s="25">
        <f t="shared" si="140"/>
        <v>0.555676999</v>
      </c>
      <c r="Y278" s="25">
        <f t="shared" si="140"/>
        <v>0.555676999</v>
      </c>
      <c r="Z278" s="25">
        <f t="shared" si="140"/>
        <v>0.555676999</v>
      </c>
      <c r="AA278" s="25">
        <f t="shared" si="140"/>
        <v>0.555676999</v>
      </c>
      <c r="AB278" s="25">
        <f t="shared" si="140"/>
        <v>0.555676999</v>
      </c>
      <c r="AC278" s="25">
        <f t="shared" si="140"/>
        <v>0.555676999</v>
      </c>
      <c r="AD278" s="441"/>
      <c r="AE278" s="25">
        <f t="shared" ref="AE278:AJ278" si="141">( 0.000002335*((AE4+AE5)/2)^2 - 0.000572488*((AE4+AE5)/2) + 0.588523784)-0.01</f>
        <v>0.5843727190000001</v>
      </c>
      <c r="AF278" s="25">
        <f t="shared" si="141"/>
        <v>0.5843727190000001</v>
      </c>
      <c r="AG278" s="25">
        <f t="shared" si="141"/>
        <v>0.5843727190000001</v>
      </c>
      <c r="AH278" s="25">
        <f t="shared" si="141"/>
        <v>0.5843727190000001</v>
      </c>
      <c r="AI278" s="25">
        <f t="shared" si="141"/>
        <v>0.5843727190000001</v>
      </c>
      <c r="AJ278" s="25">
        <f t="shared" si="141"/>
        <v>0.5843727190000001</v>
      </c>
    </row>
    <row r="279" spans="1:38" x14ac:dyDescent="0.15">
      <c r="A279" s="103" t="s">
        <v>390</v>
      </c>
      <c r="B279" s="25">
        <f t="shared" ref="B279:G279" si="142">(0.00000268*((B4+B5)/2)^2 - 0.00064541*(B4+B5)/2 + 0.63872902)</f>
        <v>0.60810036999999995</v>
      </c>
      <c r="C279" s="25">
        <f t="shared" si="142"/>
        <v>0.60810036999999995</v>
      </c>
      <c r="D279" s="25">
        <f t="shared" si="142"/>
        <v>0.60810036999999995</v>
      </c>
      <c r="E279" s="25">
        <f t="shared" si="142"/>
        <v>0.60810036999999995</v>
      </c>
      <c r="F279" s="25">
        <f t="shared" si="142"/>
        <v>0.60810036999999995</v>
      </c>
      <c r="G279" s="25">
        <f t="shared" si="142"/>
        <v>0.60810036999999995</v>
      </c>
      <c r="H279" s="441"/>
      <c r="I279" s="25">
        <f t="shared" ref="I279:N279" si="143">(0.00000268*((I4+I5)/2)^2 - 0.00064541*(I4+I5)/2 + 0.63872902)</f>
        <v>0.60098801999999996</v>
      </c>
      <c r="J279" s="25">
        <f t="shared" si="143"/>
        <v>0.60098801999999996</v>
      </c>
      <c r="K279" s="25">
        <f t="shared" si="143"/>
        <v>0.60098801999999996</v>
      </c>
      <c r="L279" s="25">
        <f t="shared" si="143"/>
        <v>0.60098801999999996</v>
      </c>
      <c r="M279" s="25">
        <f t="shared" si="143"/>
        <v>0.60098801999999996</v>
      </c>
      <c r="N279" s="25">
        <f t="shared" si="143"/>
        <v>0.60098801999999996</v>
      </c>
      <c r="O279" s="441"/>
      <c r="P279" s="25">
        <f t="shared" ref="P279:U279" si="144">0.00000268*((P4+P5)/2)^2 - 0.00064541*(P4+P5)/2 + 0.63872902</f>
        <v>0.60149156999999998</v>
      </c>
      <c r="Q279" s="25">
        <f t="shared" si="144"/>
        <v>0.60149156999999998</v>
      </c>
      <c r="R279" s="25">
        <f t="shared" si="144"/>
        <v>0.60149156999999998</v>
      </c>
      <c r="S279" s="25">
        <f t="shared" si="144"/>
        <v>0.60149156999999998</v>
      </c>
      <c r="T279" s="25">
        <f t="shared" si="144"/>
        <v>0.60149156999999998</v>
      </c>
      <c r="U279" s="25">
        <f t="shared" si="144"/>
        <v>0.60149156999999998</v>
      </c>
      <c r="V279" s="441"/>
      <c r="W279" s="25">
        <f t="shared" ref="W279:AC279" si="145">0.00000268*((W4+W5)/2)^2 - 0.00064541*(W4+W5)/2 + 0.63872902</f>
        <v>0.61478107000000004</v>
      </c>
      <c r="X279" s="25">
        <f t="shared" si="145"/>
        <v>0.61478107000000004</v>
      </c>
      <c r="Y279" s="25">
        <f t="shared" si="145"/>
        <v>0.61478107000000004</v>
      </c>
      <c r="Z279" s="25">
        <f t="shared" si="145"/>
        <v>0.61478107000000004</v>
      </c>
      <c r="AA279" s="25">
        <f t="shared" si="145"/>
        <v>0.61478107000000004</v>
      </c>
      <c r="AB279" s="25">
        <f t="shared" si="145"/>
        <v>0.61478107000000004</v>
      </c>
      <c r="AC279" s="25">
        <f t="shared" si="145"/>
        <v>0.61478107000000004</v>
      </c>
      <c r="AD279" s="441"/>
      <c r="AE279" s="25">
        <f t="shared" ref="AE279:AJ279" si="146">0.00000268*((AE4+AE5)/2)^2 - 0.00064541*(AE4+AE5)/2 + 0.63872902</f>
        <v>0.64841647000000002</v>
      </c>
      <c r="AF279" s="25">
        <f t="shared" si="146"/>
        <v>0.64841647000000002</v>
      </c>
      <c r="AG279" s="25">
        <f t="shared" si="146"/>
        <v>0.64841647000000002</v>
      </c>
      <c r="AH279" s="25">
        <f t="shared" si="146"/>
        <v>0.64841647000000002</v>
      </c>
      <c r="AI279" s="25">
        <f t="shared" si="146"/>
        <v>0.64841647000000002</v>
      </c>
      <c r="AJ279" s="25">
        <f t="shared" si="146"/>
        <v>0.64841647000000002</v>
      </c>
    </row>
    <row r="280" spans="1:38" x14ac:dyDescent="0.15">
      <c r="A280" s="103" t="s">
        <v>389</v>
      </c>
      <c r="B280" s="25">
        <v>0.17</v>
      </c>
      <c r="C280" s="25">
        <v>0.17</v>
      </c>
      <c r="D280" s="25">
        <v>0.17</v>
      </c>
      <c r="E280" s="25">
        <v>0.17</v>
      </c>
      <c r="F280" s="25">
        <v>0.17</v>
      </c>
      <c r="G280" s="25">
        <v>0.17</v>
      </c>
      <c r="H280" s="441"/>
      <c r="I280" s="25">
        <v>0.17</v>
      </c>
      <c r="J280" s="25">
        <v>0.17</v>
      </c>
      <c r="K280" s="25">
        <v>0.17</v>
      </c>
      <c r="L280" s="25">
        <v>0.17</v>
      </c>
      <c r="M280" s="25">
        <v>0.17</v>
      </c>
      <c r="N280" s="25">
        <v>0.17</v>
      </c>
      <c r="O280" s="441"/>
      <c r="P280" s="25">
        <v>0.17</v>
      </c>
      <c r="Q280" s="25">
        <v>0.17</v>
      </c>
      <c r="R280" s="25">
        <v>0.17</v>
      </c>
      <c r="S280" s="25">
        <v>0.17</v>
      </c>
      <c r="T280" s="25">
        <v>0.17</v>
      </c>
      <c r="U280" s="25">
        <v>0.17</v>
      </c>
      <c r="V280" s="441"/>
      <c r="W280" s="25">
        <v>0.17</v>
      </c>
      <c r="X280" s="25">
        <v>0.17</v>
      </c>
      <c r="Y280" s="25">
        <v>0.17</v>
      </c>
      <c r="Z280" s="25">
        <v>0.17</v>
      </c>
      <c r="AA280" s="25">
        <v>0.17</v>
      </c>
      <c r="AB280" s="25">
        <v>0.17</v>
      </c>
      <c r="AC280" s="25">
        <v>0.17</v>
      </c>
      <c r="AD280" s="441"/>
      <c r="AE280" s="25">
        <v>0.17</v>
      </c>
      <c r="AF280" s="25">
        <v>0.17</v>
      </c>
      <c r="AG280" s="25">
        <v>0.17</v>
      </c>
      <c r="AH280" s="25">
        <v>0.17</v>
      </c>
      <c r="AI280" s="25">
        <v>0.17</v>
      </c>
      <c r="AJ280" s="25">
        <v>0.17</v>
      </c>
    </row>
    <row r="281" spans="1:38" x14ac:dyDescent="0.15">
      <c r="A281" s="103" t="s">
        <v>388</v>
      </c>
      <c r="B281" s="25">
        <v>0.69</v>
      </c>
      <c r="C281" s="25">
        <v>0.69</v>
      </c>
      <c r="D281" s="25">
        <v>0.69</v>
      </c>
      <c r="E281" s="25">
        <v>0.69</v>
      </c>
      <c r="F281" s="25">
        <v>0.69</v>
      </c>
      <c r="G281" s="25">
        <v>0.69</v>
      </c>
      <c r="H281" s="441"/>
      <c r="I281" s="25">
        <v>0.69</v>
      </c>
      <c r="J281" s="25">
        <v>0.69</v>
      </c>
      <c r="K281" s="25">
        <v>0.69</v>
      </c>
      <c r="L281" s="25">
        <v>0.69</v>
      </c>
      <c r="M281" s="25">
        <v>0.69</v>
      </c>
      <c r="N281" s="25">
        <v>0.69</v>
      </c>
      <c r="O281" s="441"/>
      <c r="P281" s="25">
        <v>0.69</v>
      </c>
      <c r="Q281" s="25">
        <v>0.69</v>
      </c>
      <c r="R281" s="25">
        <v>0.69</v>
      </c>
      <c r="S281" s="25">
        <v>0.69</v>
      </c>
      <c r="T281" s="25">
        <v>0.69</v>
      </c>
      <c r="U281" s="25">
        <v>0.69</v>
      </c>
      <c r="V281" s="441"/>
      <c r="W281" s="25">
        <v>0.69</v>
      </c>
      <c r="X281" s="25">
        <v>0.69</v>
      </c>
      <c r="Y281" s="25">
        <v>0.69</v>
      </c>
      <c r="Z281" s="25">
        <v>0.69</v>
      </c>
      <c r="AA281" s="25">
        <v>0.69</v>
      </c>
      <c r="AB281" s="25">
        <v>0.69</v>
      </c>
      <c r="AC281" s="25">
        <v>0.69</v>
      </c>
      <c r="AD281" s="441"/>
      <c r="AE281" s="25">
        <v>0.69</v>
      </c>
      <c r="AF281" s="25">
        <v>0.69</v>
      </c>
      <c r="AG281" s="25">
        <v>0.69</v>
      </c>
      <c r="AH281" s="25">
        <v>0.69</v>
      </c>
      <c r="AI281" s="25">
        <v>0.69</v>
      </c>
      <c r="AJ281" s="25">
        <v>0.69</v>
      </c>
    </row>
    <row r="282" spans="1:38" x14ac:dyDescent="0.15">
      <c r="A282" s="103" t="s">
        <v>387</v>
      </c>
      <c r="B282" s="25">
        <v>0.32</v>
      </c>
      <c r="C282" s="25">
        <v>0.32</v>
      </c>
      <c r="D282" s="25">
        <v>0.32</v>
      </c>
      <c r="E282" s="25">
        <v>0.32</v>
      </c>
      <c r="F282" s="25">
        <v>0.32</v>
      </c>
      <c r="G282" s="25">
        <v>0.32</v>
      </c>
      <c r="H282" s="441"/>
      <c r="I282" s="25">
        <v>0.32</v>
      </c>
      <c r="J282" s="25">
        <v>0.32</v>
      </c>
      <c r="K282" s="25">
        <v>0.32</v>
      </c>
      <c r="L282" s="25">
        <v>0.32</v>
      </c>
      <c r="M282" s="25">
        <v>0.32</v>
      </c>
      <c r="N282" s="25">
        <v>0.32</v>
      </c>
      <c r="O282" s="441"/>
      <c r="P282" s="25">
        <v>0.32</v>
      </c>
      <c r="Q282" s="25">
        <v>0.32</v>
      </c>
      <c r="R282" s="25">
        <v>0.32</v>
      </c>
      <c r="S282" s="25">
        <v>0.32</v>
      </c>
      <c r="T282" s="25">
        <v>0.32</v>
      </c>
      <c r="U282" s="25">
        <v>0.32</v>
      </c>
      <c r="V282" s="441"/>
      <c r="W282" s="25">
        <v>0.32</v>
      </c>
      <c r="X282" s="25">
        <v>0.32</v>
      </c>
      <c r="Y282" s="25">
        <v>0.32</v>
      </c>
      <c r="Z282" s="25">
        <v>0.32</v>
      </c>
      <c r="AA282" s="25">
        <v>0.32</v>
      </c>
      <c r="AB282" s="25">
        <v>0.32</v>
      </c>
      <c r="AC282" s="25">
        <v>0.32</v>
      </c>
      <c r="AD282" s="441"/>
      <c r="AE282" s="25">
        <v>0.32</v>
      </c>
      <c r="AF282" s="25">
        <v>0.32</v>
      </c>
      <c r="AG282" s="25">
        <v>0.32</v>
      </c>
      <c r="AH282" s="25">
        <v>0.32</v>
      </c>
      <c r="AI282" s="25">
        <v>0.32</v>
      </c>
      <c r="AJ282" s="25">
        <v>0.32</v>
      </c>
      <c r="AK282" s="25"/>
      <c r="AL282" s="25"/>
    </row>
    <row r="283" spans="1:38" x14ac:dyDescent="0.15">
      <c r="A283" s="111" t="s">
        <v>136</v>
      </c>
      <c r="B283" s="63">
        <f t="shared" ref="B283:G283" si="147">IF(AVERAGE(B4:B5)&lt;51,0.000025*((B5+B4)/2)^2 - 0.01005*((B5+B4)/2) + 1.5955,(0.00000649518*((B4+B5)/2)^2 - 0.00338103746*((B4+B5)/2) + 1.049852))</f>
        <v>0.85752670060000002</v>
      </c>
      <c r="C283" s="63">
        <f t="shared" si="147"/>
        <v>0.85752670060000002</v>
      </c>
      <c r="D283" s="63">
        <f t="shared" si="147"/>
        <v>0.85752670060000002</v>
      </c>
      <c r="E283" s="63">
        <f t="shared" si="147"/>
        <v>0.85752670060000002</v>
      </c>
      <c r="F283" s="63">
        <f t="shared" si="147"/>
        <v>0.85752670060000002</v>
      </c>
      <c r="G283" s="63">
        <f t="shared" si="147"/>
        <v>0.85752670060000002</v>
      </c>
      <c r="H283" s="442"/>
      <c r="I283" s="63">
        <f t="shared" ref="I283:N283" si="148">IF(AVERAGE(I4:I5)&lt;51,0.000025*((I5+I4)/2)^2 - 0.01005*((I5+I4)/2) + 1.5955,(0.00000649518*((I4+I5)/2)^2 - 0.00338103746*((I4+I5)/2) + 1.049852))</f>
        <v>0.77670005399999997</v>
      </c>
      <c r="J283" s="63">
        <f t="shared" si="148"/>
        <v>0.77670005399999997</v>
      </c>
      <c r="K283" s="63">
        <f t="shared" si="148"/>
        <v>0.77670005399999997</v>
      </c>
      <c r="L283" s="63">
        <f t="shared" si="148"/>
        <v>0.77670005399999997</v>
      </c>
      <c r="M283" s="63">
        <f t="shared" si="148"/>
        <v>0.77670005399999997</v>
      </c>
      <c r="N283" s="63">
        <f t="shared" si="148"/>
        <v>0.77670005399999997</v>
      </c>
      <c r="O283" s="442"/>
      <c r="P283" s="63">
        <f t="shared" ref="P283:U283" si="149">IF(AVERAGE(P4:P5)&lt;51,0.000025*((P5+P4)/2)^2 - 0.01005*((P5+P4)/2) + 1.5955,(0.00000649518*((P4+P5)/2)^2 - 0.00338103746*((P4+P5)/2) + 1.049852))</f>
        <v>0.69616272779999999</v>
      </c>
      <c r="Q283" s="63">
        <f t="shared" si="149"/>
        <v>0.69616272779999999</v>
      </c>
      <c r="R283" s="63">
        <f t="shared" si="149"/>
        <v>0.69616272779999999</v>
      </c>
      <c r="S283" s="63">
        <f t="shared" si="149"/>
        <v>0.69616272779999999</v>
      </c>
      <c r="T283" s="63">
        <f t="shared" si="149"/>
        <v>0.69616272779999999</v>
      </c>
      <c r="U283" s="63">
        <f t="shared" si="149"/>
        <v>0.69616272779999999</v>
      </c>
      <c r="V283" s="442"/>
      <c r="W283" s="63">
        <f t="shared" ref="W283:AC283" si="150">IF(AVERAGE(W4:W5)&lt;51,0.000025*((W5+W4)/2)^2 - 0.01005*((W5+W4)/2) + 1.5955,(0.00000649518*((W4+W5)/2)^2 - 0.00338103746*((W4+W5)/2) + 1.049852))</f>
        <v>0.63752891480000007</v>
      </c>
      <c r="X283" s="63">
        <f t="shared" si="150"/>
        <v>0.63752891480000007</v>
      </c>
      <c r="Y283" s="63">
        <f t="shared" si="150"/>
        <v>0.63752891480000007</v>
      </c>
      <c r="Z283" s="63">
        <f t="shared" si="150"/>
        <v>0.63752891480000007</v>
      </c>
      <c r="AA283" s="63">
        <f t="shared" si="150"/>
        <v>0.63752891480000007</v>
      </c>
      <c r="AB283" s="63">
        <f t="shared" si="150"/>
        <v>0.63752891480000007</v>
      </c>
      <c r="AC283" s="63">
        <f t="shared" si="150"/>
        <v>0.63752891480000007</v>
      </c>
      <c r="AD283" s="442"/>
      <c r="AE283" s="63">
        <f t="shared" ref="AE283:AJ283" si="151">IF(AVERAGE(AE4:AE5)&lt;51,0.000025*((AE5+AE4)/2)^2 - 0.01005*((AE5+AE4)/2) + 1.5955,(0.00000649518*((AE4+AE5)/2)^2 - 0.00338103746*((AE4+AE5)/2) + 1.049852))</f>
        <v>0.61003652720000001</v>
      </c>
      <c r="AF283" s="63">
        <f t="shared" si="151"/>
        <v>0.61003652720000001</v>
      </c>
      <c r="AG283" s="63">
        <f t="shared" si="151"/>
        <v>0.61003652720000001</v>
      </c>
      <c r="AH283" s="63">
        <f t="shared" si="151"/>
        <v>0.61003652720000001</v>
      </c>
      <c r="AI283" s="63">
        <f t="shared" si="151"/>
        <v>0.61003652720000001</v>
      </c>
      <c r="AJ283" s="63">
        <f t="shared" si="151"/>
        <v>0.61003652720000001</v>
      </c>
    </row>
    <row r="284" spans="1:38" x14ac:dyDescent="0.15">
      <c r="A284" s="111" t="s">
        <v>137</v>
      </c>
      <c r="B284" s="63">
        <f t="shared" ref="B284:G284" si="152">IF(AVERAGE(B4:B5)&lt;51,0.000025*((B5+B4)/2)^2 - 0.01005*((B5+B4)/2) + 1.5955,0.00000649518*((B5+B4)/2)^2 - 0.00338103746*((B5+B4)/2) + 1.3529)</f>
        <v>1.1605747006</v>
      </c>
      <c r="C284" s="63">
        <f t="shared" si="152"/>
        <v>1.1605747006</v>
      </c>
      <c r="D284" s="63">
        <f t="shared" si="152"/>
        <v>1.1605747006</v>
      </c>
      <c r="E284" s="63">
        <f t="shared" si="152"/>
        <v>1.1605747006</v>
      </c>
      <c r="F284" s="63">
        <f t="shared" si="152"/>
        <v>1.1605747006</v>
      </c>
      <c r="G284" s="63">
        <f t="shared" si="152"/>
        <v>1.1605747006</v>
      </c>
      <c r="H284" s="442"/>
      <c r="I284" s="63">
        <f t="shared" ref="I284:N284" si="153">IF(AVERAGE(I4:I5)&lt;51,0.000025*((I5+I4)/2)^2 - 0.01005*((I5+I4)/2) + 1.5955,0.00000649518*((I5+I4)/2)^2 - 0.00338103746*((I5+I4)/2) + 1.3529)</f>
        <v>1.079748054</v>
      </c>
      <c r="J284" s="63">
        <f t="shared" si="153"/>
        <v>1.079748054</v>
      </c>
      <c r="K284" s="63">
        <f t="shared" si="153"/>
        <v>1.079748054</v>
      </c>
      <c r="L284" s="63">
        <f t="shared" si="153"/>
        <v>1.079748054</v>
      </c>
      <c r="M284" s="63">
        <f t="shared" si="153"/>
        <v>1.079748054</v>
      </c>
      <c r="N284" s="63">
        <f t="shared" si="153"/>
        <v>1.079748054</v>
      </c>
      <c r="O284" s="442"/>
      <c r="P284" s="63">
        <f t="shared" ref="P284:U284" si="154">IF(AVERAGE(P4:P5)&lt;51,0.000025*((P5+P4)/2)^2 - 0.01005*((P5+P4)/2) + 1.5955,0.00000649518*((P5+P4)/2)^2 - 0.00338103746*((P5+P4)/2) + 1.3529)</f>
        <v>0.99921072779999998</v>
      </c>
      <c r="Q284" s="63">
        <f t="shared" si="154"/>
        <v>0.99921072779999998</v>
      </c>
      <c r="R284" s="63">
        <f t="shared" si="154"/>
        <v>0.99921072779999998</v>
      </c>
      <c r="S284" s="63">
        <f t="shared" si="154"/>
        <v>0.99921072779999998</v>
      </c>
      <c r="T284" s="63">
        <f t="shared" si="154"/>
        <v>0.99921072779999998</v>
      </c>
      <c r="U284" s="63">
        <f t="shared" si="154"/>
        <v>0.99921072779999998</v>
      </c>
      <c r="V284" s="442"/>
      <c r="W284" s="63">
        <f t="shared" ref="W284:AC284" si="155">IF(AVERAGE(W4:W5)&lt;51,0.000025*((W5+W4)/2)^2 - 0.01005*((W5+W4)/2) + 1.5955,0.00000649518*((W5+W4)/2)^2 - 0.00338103746*((W5+W4)/2) + 1.3529)</f>
        <v>0.94057691480000005</v>
      </c>
      <c r="X284" s="63">
        <f t="shared" si="155"/>
        <v>0.94057691480000005</v>
      </c>
      <c r="Y284" s="63">
        <f t="shared" si="155"/>
        <v>0.94057691480000005</v>
      </c>
      <c r="Z284" s="63">
        <f t="shared" si="155"/>
        <v>0.94057691480000005</v>
      </c>
      <c r="AA284" s="63">
        <f t="shared" si="155"/>
        <v>0.94057691480000005</v>
      </c>
      <c r="AB284" s="63">
        <f t="shared" si="155"/>
        <v>0.94057691480000005</v>
      </c>
      <c r="AC284" s="63">
        <f t="shared" si="155"/>
        <v>0.94057691480000005</v>
      </c>
      <c r="AD284" s="442"/>
      <c r="AE284" s="63">
        <f t="shared" ref="AE284:AJ284" si="156">IF(AVERAGE(AE4:AE5)&lt;51,0.000025*((AE5+AE4)/2)^2 - 0.01005*((AE5+AE4)/2) + 1.5955,0.00000649518*((AE5+AE4)/2)^2 - 0.00338103746*((AE5+AE4)/2) + 1.3529)</f>
        <v>0.9130845272</v>
      </c>
      <c r="AF284" s="63">
        <f t="shared" si="156"/>
        <v>0.9130845272</v>
      </c>
      <c r="AG284" s="63">
        <f t="shared" si="156"/>
        <v>0.9130845272</v>
      </c>
      <c r="AH284" s="63">
        <f t="shared" si="156"/>
        <v>0.9130845272</v>
      </c>
      <c r="AI284" s="63">
        <f t="shared" si="156"/>
        <v>0.9130845272</v>
      </c>
      <c r="AJ284" s="63">
        <f t="shared" si="156"/>
        <v>0.9130845272</v>
      </c>
    </row>
    <row r="285" spans="1:38" x14ac:dyDescent="0.15">
      <c r="A285" s="26" t="s">
        <v>46</v>
      </c>
      <c r="B285" s="63">
        <f t="shared" ref="B285:G285" si="157">B283*(B249*2.2046)/10000</f>
        <v>0.28977464002082054</v>
      </c>
      <c r="C285" s="63">
        <f t="shared" si="157"/>
        <v>0.29091458863031833</v>
      </c>
      <c r="D285" s="63">
        <f t="shared" si="157"/>
        <v>0.29196885146202006</v>
      </c>
      <c r="E285" s="63">
        <f t="shared" si="157"/>
        <v>0.29309863029708461</v>
      </c>
      <c r="F285" s="63">
        <f t="shared" si="157"/>
        <v>0.29415609488995925</v>
      </c>
      <c r="G285" s="63">
        <f t="shared" si="157"/>
        <v>0.29508280673903448</v>
      </c>
      <c r="H285" s="442"/>
      <c r="I285" s="63">
        <f t="shared" ref="I285:N285" si="158">I283*(I249*2.2046)/10000</f>
        <v>0.26162136427352067</v>
      </c>
      <c r="J285" s="63">
        <f t="shared" si="158"/>
        <v>0.26104101413383662</v>
      </c>
      <c r="K285" s="63">
        <f t="shared" si="158"/>
        <v>0.26061759025642234</v>
      </c>
      <c r="L285" s="63">
        <f t="shared" si="158"/>
        <v>0.26001720380735044</v>
      </c>
      <c r="M285" s="63">
        <f t="shared" si="158"/>
        <v>0.25959377992993621</v>
      </c>
      <c r="N285" s="63">
        <f t="shared" si="158"/>
        <v>0.25898700157364118</v>
      </c>
      <c r="O285" s="442"/>
      <c r="P285" s="63">
        <f t="shared" ref="P285:U285" si="159">P283*(P249*2.2046)/10000</f>
        <v>0.235315608454751</v>
      </c>
      <c r="Q285" s="63">
        <f t="shared" si="159"/>
        <v>0.23495683469539819</v>
      </c>
      <c r="R285" s="63">
        <f t="shared" si="159"/>
        <v>0.23474830827435453</v>
      </c>
      <c r="S285" s="63">
        <f t="shared" si="159"/>
        <v>0.23438953451500161</v>
      </c>
      <c r="T285" s="63">
        <f t="shared" si="159"/>
        <v>0.2340231817308821</v>
      </c>
      <c r="U285" s="63">
        <f t="shared" si="159"/>
        <v>0.23385675857211721</v>
      </c>
      <c r="V285" s="442"/>
      <c r="W285" s="63">
        <f t="shared" ref="W285:AC285" si="160">W283*(W249*2.2046)/10000</f>
        <v>0.21582300622441297</v>
      </c>
      <c r="X285" s="63">
        <f t="shared" si="160"/>
        <v>0.21549631789071935</v>
      </c>
      <c r="Y285" s="63">
        <f t="shared" si="160"/>
        <v>0.21516776159730538</v>
      </c>
      <c r="Z285" s="63">
        <f t="shared" si="160"/>
        <v>0.21497679816647763</v>
      </c>
      <c r="AA285" s="63">
        <f t="shared" si="160"/>
        <v>0.21464824187306358</v>
      </c>
      <c r="AB285" s="63">
        <f t="shared" si="160"/>
        <v>0.21431274489287944</v>
      </c>
      <c r="AC285" s="63">
        <f t="shared" si="160"/>
        <v>0.21416033860686604</v>
      </c>
      <c r="AD285" s="442"/>
      <c r="AE285" s="63">
        <f t="shared" ref="AE285:AJ285" si="161">AE283*(AE249*2.2046)/10000</f>
        <v>0.20338795521429806</v>
      </c>
      <c r="AF285" s="63">
        <f t="shared" si="161"/>
        <v>0.20370300140995715</v>
      </c>
      <c r="AG285" s="63">
        <f t="shared" si="161"/>
        <v>0.20401804760561623</v>
      </c>
      <c r="AH285" s="63">
        <f t="shared" si="161"/>
        <v>0.20433309380127537</v>
      </c>
      <c r="AI285" s="63">
        <f t="shared" si="161"/>
        <v>0.20464813999693446</v>
      </c>
      <c r="AJ285" s="63">
        <f t="shared" si="161"/>
        <v>0.20493803158769142</v>
      </c>
    </row>
    <row r="286" spans="1:38" x14ac:dyDescent="0.15">
      <c r="A286" s="26" t="s">
        <v>366</v>
      </c>
      <c r="B286" s="63">
        <f t="shared" ref="B286:G286" si="162" xml:space="preserve"> -0.096629122*LN(AVERAGE(B4:B5)/2.2046) + 0.7201091526</f>
        <v>0.3931315500655877</v>
      </c>
      <c r="C286" s="63">
        <f t="shared" si="162"/>
        <v>0.3931315500655877</v>
      </c>
      <c r="D286" s="63">
        <f t="shared" si="162"/>
        <v>0.3931315500655877</v>
      </c>
      <c r="E286" s="63">
        <f t="shared" si="162"/>
        <v>0.3931315500655877</v>
      </c>
      <c r="F286" s="63">
        <f t="shared" si="162"/>
        <v>0.3931315500655877</v>
      </c>
      <c r="G286" s="63">
        <f t="shared" si="162"/>
        <v>0.3931315500655877</v>
      </c>
      <c r="H286" s="442"/>
      <c r="I286" s="63">
        <f t="shared" ref="I286:N286" si="163" xml:space="preserve"> -0.096629122*LN(AVERAGE(I4:I5)/2.2046) + 0.7201091526</f>
        <v>0.35150537511097418</v>
      </c>
      <c r="J286" s="63">
        <f t="shared" si="163"/>
        <v>0.35150537511097418</v>
      </c>
      <c r="K286" s="63">
        <f t="shared" si="163"/>
        <v>0.35150537511097418</v>
      </c>
      <c r="L286" s="63">
        <f t="shared" si="163"/>
        <v>0.35150537511097418</v>
      </c>
      <c r="M286" s="63">
        <f t="shared" si="163"/>
        <v>0.35150537511097418</v>
      </c>
      <c r="N286" s="63">
        <f t="shared" si="163"/>
        <v>0.35150537511097418</v>
      </c>
      <c r="O286" s="442"/>
      <c r="P286" s="63">
        <f t="shared" ref="P286:U286" si="164" xml:space="preserve"> -0.096629122*LN(AVERAGE(P4:P5)/2.2046) + 0.7201091526</f>
        <v>0.31560151488570587</v>
      </c>
      <c r="Q286" s="63">
        <f t="shared" si="164"/>
        <v>0.31560151488570587</v>
      </c>
      <c r="R286" s="63">
        <f t="shared" si="164"/>
        <v>0.31560151488570587</v>
      </c>
      <c r="S286" s="63">
        <f t="shared" si="164"/>
        <v>0.31560151488570587</v>
      </c>
      <c r="T286" s="63">
        <f t="shared" si="164"/>
        <v>0.31560151488570587</v>
      </c>
      <c r="U286" s="63">
        <f t="shared" si="164"/>
        <v>0.31560151488570587</v>
      </c>
      <c r="V286" s="442"/>
      <c r="W286" s="63">
        <f t="shared" ref="W286:AC286" si="165" xml:space="preserve"> -0.096629122*LN(AVERAGE(W4:W5)/2.2046) + 0.7201091526</f>
        <v>0.28697360919317771</v>
      </c>
      <c r="X286" s="63">
        <f t="shared" si="165"/>
        <v>0.28697360919317771</v>
      </c>
      <c r="Y286" s="63">
        <f t="shared" si="165"/>
        <v>0.28697360919317771</v>
      </c>
      <c r="Z286" s="63">
        <f t="shared" si="165"/>
        <v>0.28697360919317771</v>
      </c>
      <c r="AA286" s="63">
        <f t="shared" si="165"/>
        <v>0.28697360919317771</v>
      </c>
      <c r="AB286" s="63">
        <f t="shared" si="165"/>
        <v>0.28697360919317771</v>
      </c>
      <c r="AC286" s="63">
        <f t="shared" si="165"/>
        <v>0.28697360919317771</v>
      </c>
      <c r="AD286" s="442"/>
      <c r="AE286" s="63">
        <f t="shared" ref="AE286:AJ286" si="166" xml:space="preserve"> -0.096629122*LN(AVERAGE(AE4:AE5)/2.2046) + 0.7201091526</f>
        <v>0.26105149570431407</v>
      </c>
      <c r="AF286" s="63">
        <f t="shared" si="166"/>
        <v>0.26105149570431407</v>
      </c>
      <c r="AG286" s="63">
        <f t="shared" si="166"/>
        <v>0.26105149570431407</v>
      </c>
      <c r="AH286" s="63">
        <f t="shared" si="166"/>
        <v>0.26105149570431407</v>
      </c>
      <c r="AI286" s="63">
        <f t="shared" si="166"/>
        <v>0.26105149570431407</v>
      </c>
      <c r="AJ286" s="63">
        <f t="shared" si="166"/>
        <v>0.26105149570431407</v>
      </c>
    </row>
    <row r="287" spans="1:38" x14ac:dyDescent="0.15">
      <c r="A287" s="111" t="s">
        <v>141</v>
      </c>
      <c r="B287" s="61">
        <v>1</v>
      </c>
      <c r="C287" s="61">
        <v>1</v>
      </c>
      <c r="D287" s="61">
        <v>1</v>
      </c>
      <c r="E287" s="61">
        <v>1</v>
      </c>
      <c r="F287" s="61">
        <v>1</v>
      </c>
      <c r="G287" s="61">
        <v>1</v>
      </c>
      <c r="H287" s="432"/>
      <c r="I287" s="61">
        <v>1</v>
      </c>
      <c r="J287" s="61">
        <v>1</v>
      </c>
      <c r="K287" s="61">
        <v>1</v>
      </c>
      <c r="L287" s="61">
        <v>1</v>
      </c>
      <c r="M287" s="61">
        <v>1</v>
      </c>
      <c r="N287" s="61">
        <v>1</v>
      </c>
      <c r="O287" s="432"/>
      <c r="P287" s="61">
        <v>1</v>
      </c>
      <c r="Q287" s="61">
        <v>1</v>
      </c>
      <c r="R287" s="61">
        <v>1</v>
      </c>
      <c r="S287" s="61">
        <v>1</v>
      </c>
      <c r="T287" s="61">
        <v>1</v>
      </c>
      <c r="U287" s="61">
        <v>1</v>
      </c>
      <c r="V287" s="432"/>
      <c r="W287" s="61">
        <v>1</v>
      </c>
      <c r="X287" s="61">
        <v>1</v>
      </c>
      <c r="Y287" s="61">
        <v>1</v>
      </c>
      <c r="Z287" s="61">
        <v>1</v>
      </c>
      <c r="AA287" s="61">
        <v>1</v>
      </c>
      <c r="AB287" s="61">
        <v>1</v>
      </c>
      <c r="AC287" s="61">
        <v>1</v>
      </c>
      <c r="AD287" s="432"/>
      <c r="AE287" s="61">
        <v>1</v>
      </c>
      <c r="AF287" s="61">
        <v>1</v>
      </c>
      <c r="AG287" s="61">
        <v>1</v>
      </c>
      <c r="AH287" s="61">
        <v>1</v>
      </c>
      <c r="AI287" s="61">
        <v>1</v>
      </c>
      <c r="AJ287" s="61">
        <v>1</v>
      </c>
    </row>
    <row r="288" spans="1:38" x14ac:dyDescent="0.15">
      <c r="A288" s="111" t="s">
        <v>140</v>
      </c>
      <c r="B288" s="61">
        <v>1.25</v>
      </c>
      <c r="C288" s="61">
        <v>1.25</v>
      </c>
      <c r="D288" s="61">
        <v>1.25</v>
      </c>
      <c r="E288" s="61">
        <v>1.25</v>
      </c>
      <c r="F288" s="61">
        <v>1.25</v>
      </c>
      <c r="G288" s="61">
        <v>1.25</v>
      </c>
      <c r="H288" s="432"/>
      <c r="I288" s="61">
        <v>1.25</v>
      </c>
      <c r="J288" s="61">
        <v>1.25</v>
      </c>
      <c r="K288" s="61">
        <v>1.25</v>
      </c>
      <c r="L288" s="61">
        <v>1.25</v>
      </c>
      <c r="M288" s="61">
        <v>1.25</v>
      </c>
      <c r="N288" s="61">
        <v>1.25</v>
      </c>
      <c r="O288" s="432"/>
      <c r="P288" s="61">
        <v>1.25</v>
      </c>
      <c r="Q288" s="61">
        <v>1.25</v>
      </c>
      <c r="R288" s="61">
        <v>1.25</v>
      </c>
      <c r="S288" s="61">
        <v>1.25</v>
      </c>
      <c r="T288" s="61">
        <v>1.25</v>
      </c>
      <c r="U288" s="61">
        <v>1.25</v>
      </c>
      <c r="V288" s="432"/>
      <c r="W288" s="61">
        <v>1.25</v>
      </c>
      <c r="X288" s="61">
        <v>1.25</v>
      </c>
      <c r="Y288" s="61">
        <v>1.25</v>
      </c>
      <c r="Z288" s="61">
        <v>1.25</v>
      </c>
      <c r="AA288" s="61">
        <v>1.25</v>
      </c>
      <c r="AB288" s="61">
        <v>1.25</v>
      </c>
      <c r="AC288" s="61">
        <v>1.25</v>
      </c>
      <c r="AD288" s="432"/>
      <c r="AE288" s="61">
        <v>1.25</v>
      </c>
      <c r="AF288" s="61">
        <v>1.25</v>
      </c>
      <c r="AG288" s="61">
        <v>1.25</v>
      </c>
      <c r="AH288" s="61">
        <v>1.25</v>
      </c>
      <c r="AI288" s="61">
        <v>1.25</v>
      </c>
      <c r="AJ288" s="61">
        <v>1.25</v>
      </c>
    </row>
    <row r="289" spans="1:38" x14ac:dyDescent="0.15">
      <c r="A289" s="111" t="s">
        <v>355</v>
      </c>
      <c r="B289" s="85">
        <f t="shared" ref="B289:G289" si="167">-0.12264*LN(AVERAGE(B4:B5)/2.2046) + 1.07262</f>
        <v>0.65762571727413266</v>
      </c>
      <c r="C289" s="85">
        <f t="shared" si="167"/>
        <v>0.65762571727413266</v>
      </c>
      <c r="D289" s="85">
        <f t="shared" si="167"/>
        <v>0.65762571727413266</v>
      </c>
      <c r="E289" s="85">
        <f t="shared" si="167"/>
        <v>0.65762571727413266</v>
      </c>
      <c r="F289" s="85">
        <f t="shared" si="167"/>
        <v>0.65762571727413266</v>
      </c>
      <c r="G289" s="85">
        <f t="shared" si="167"/>
        <v>0.65762571727413266</v>
      </c>
      <c r="H289" s="431"/>
      <c r="I289" s="85">
        <f t="shared" ref="I289:N289" si="168">-0.12264*LN(AVERAGE(I4:I5)/2.2046) + 1.07262</f>
        <v>0.60479450044455407</v>
      </c>
      <c r="J289" s="85">
        <f t="shared" si="168"/>
        <v>0.60479450044455407</v>
      </c>
      <c r="K289" s="85">
        <f t="shared" si="168"/>
        <v>0.60479450044455407</v>
      </c>
      <c r="L289" s="85">
        <f t="shared" si="168"/>
        <v>0.60479450044455407</v>
      </c>
      <c r="M289" s="85">
        <f t="shared" si="168"/>
        <v>0.60479450044455407</v>
      </c>
      <c r="N289" s="85">
        <f t="shared" si="168"/>
        <v>0.60479450044455407</v>
      </c>
      <c r="O289" s="431"/>
      <c r="P289" s="85">
        <f t="shared" ref="P289:U289" si="169">-0.12264*LN(AVERAGE(P4:P5)/2.2046) + 1.07262</f>
        <v>0.55922594588367436</v>
      </c>
      <c r="Q289" s="85">
        <f t="shared" si="169"/>
        <v>0.55922594588367436</v>
      </c>
      <c r="R289" s="85">
        <f t="shared" si="169"/>
        <v>0.55922594588367436</v>
      </c>
      <c r="S289" s="85">
        <f t="shared" si="169"/>
        <v>0.55922594588367436</v>
      </c>
      <c r="T289" s="85">
        <f t="shared" si="169"/>
        <v>0.55922594588367436</v>
      </c>
      <c r="U289" s="85">
        <f t="shared" si="169"/>
        <v>0.55922594588367436</v>
      </c>
      <c r="V289" s="431"/>
      <c r="W289" s="85">
        <f t="shared" ref="W289:AC289" si="170">-0.12264*LN(AVERAGE(W4:W5)/2.2046) + 1.07262</f>
        <v>0.52289190619187564</v>
      </c>
      <c r="X289" s="85">
        <f t="shared" si="170"/>
        <v>0.52289190619187564</v>
      </c>
      <c r="Y289" s="85">
        <f t="shared" si="170"/>
        <v>0.52289190619187564</v>
      </c>
      <c r="Z289" s="85">
        <f t="shared" si="170"/>
        <v>0.52289190619187564</v>
      </c>
      <c r="AA289" s="85">
        <f t="shared" si="170"/>
        <v>0.52289190619187564</v>
      </c>
      <c r="AB289" s="85">
        <f t="shared" si="170"/>
        <v>0.52289190619187564</v>
      </c>
      <c r="AC289" s="85">
        <f t="shared" si="170"/>
        <v>0.52289190619187564</v>
      </c>
      <c r="AD289" s="431"/>
      <c r="AE289" s="85">
        <f t="shared" ref="AE289:AJ289" si="171">-0.12264*LN(AVERAGE(AE4:AE5)/2.2046) + 1.07262</f>
        <v>0.48999201087590416</v>
      </c>
      <c r="AF289" s="85">
        <f t="shared" si="171"/>
        <v>0.48999201087590416</v>
      </c>
      <c r="AG289" s="85">
        <f t="shared" si="171"/>
        <v>0.48999201087590416</v>
      </c>
      <c r="AH289" s="85">
        <f t="shared" si="171"/>
        <v>0.48999201087590416</v>
      </c>
      <c r="AI289" s="85">
        <f t="shared" si="171"/>
        <v>0.48999201087590416</v>
      </c>
      <c r="AJ289" s="85">
        <f t="shared" si="171"/>
        <v>0.48999201087590416</v>
      </c>
      <c r="AK289" s="85"/>
      <c r="AL289" s="85"/>
    </row>
    <row r="290" spans="1:38" x14ac:dyDescent="0.15">
      <c r="A290" s="111" t="s">
        <v>357</v>
      </c>
      <c r="B290" s="85">
        <f t="shared" ref="B290:G290" si="172" xml:space="preserve"> -0.07408*LN(AVERAGE(B4:B5)/2.2046) + 0.5684</f>
        <v>0.3177250451375388</v>
      </c>
      <c r="C290" s="85">
        <f t="shared" si="172"/>
        <v>0.3177250451375388</v>
      </c>
      <c r="D290" s="85">
        <f t="shared" si="172"/>
        <v>0.3177250451375388</v>
      </c>
      <c r="E290" s="85">
        <f t="shared" si="172"/>
        <v>0.3177250451375388</v>
      </c>
      <c r="F290" s="85">
        <f t="shared" si="172"/>
        <v>0.3177250451375388</v>
      </c>
      <c r="G290" s="85">
        <f t="shared" si="172"/>
        <v>0.3177250451375388</v>
      </c>
      <c r="H290" s="431"/>
      <c r="I290" s="85">
        <f t="shared" ref="I290:N290" si="173" xml:space="preserve"> -0.07408*LN(AVERAGE(I4:I5)/2.2046) + 0.5684</f>
        <v>0.28581264671340978</v>
      </c>
      <c r="J290" s="85">
        <f t="shared" si="173"/>
        <v>0.28581264671340978</v>
      </c>
      <c r="K290" s="85">
        <f t="shared" si="173"/>
        <v>0.28581264671340978</v>
      </c>
      <c r="L290" s="85">
        <f t="shared" si="173"/>
        <v>0.28581264671340978</v>
      </c>
      <c r="M290" s="85">
        <f t="shared" si="173"/>
        <v>0.28581264671340978</v>
      </c>
      <c r="N290" s="85">
        <f t="shared" si="173"/>
        <v>0.28581264671340978</v>
      </c>
      <c r="O290" s="431"/>
      <c r="P290" s="85">
        <f t="shared" ref="P290:U290" si="174" xml:space="preserve"> -0.07408*LN(AVERAGE(P4:P5)/2.2046) + 0.5684</f>
        <v>0.25828721845289143</v>
      </c>
      <c r="Q290" s="85">
        <f t="shared" si="174"/>
        <v>0.25828721845289143</v>
      </c>
      <c r="R290" s="85">
        <f t="shared" si="174"/>
        <v>0.25828721845289143</v>
      </c>
      <c r="S290" s="85">
        <f t="shared" si="174"/>
        <v>0.25828721845289143</v>
      </c>
      <c r="T290" s="85">
        <f t="shared" si="174"/>
        <v>0.25828721845289143</v>
      </c>
      <c r="U290" s="85">
        <f t="shared" si="174"/>
        <v>0.25828721845289143</v>
      </c>
      <c r="V290" s="431"/>
      <c r="W290" s="85">
        <f t="shared" ref="W290:AC290" si="175" xml:space="preserve"> -0.07408*LN(AVERAGE(W4:W5)/2.2046) + 0.5684</f>
        <v>0.23633984679300524</v>
      </c>
      <c r="X290" s="85">
        <f t="shared" si="175"/>
        <v>0.23633984679300524</v>
      </c>
      <c r="Y290" s="85">
        <f t="shared" si="175"/>
        <v>0.23633984679300524</v>
      </c>
      <c r="Z290" s="85">
        <f t="shared" si="175"/>
        <v>0.23633984679300524</v>
      </c>
      <c r="AA290" s="85">
        <f t="shared" si="175"/>
        <v>0.23633984679300524</v>
      </c>
      <c r="AB290" s="85">
        <f t="shared" si="175"/>
        <v>0.23633984679300524</v>
      </c>
      <c r="AC290" s="85">
        <f t="shared" si="175"/>
        <v>0.23633984679300524</v>
      </c>
      <c r="AD290" s="431"/>
      <c r="AE290" s="85">
        <f t="shared" ref="AE290:AJ290" si="176" xml:space="preserve"> -0.07408*LN(AVERAGE(AE4:AE5)/2.2046) + 0.5684</f>
        <v>0.21646685066607141</v>
      </c>
      <c r="AF290" s="85">
        <f t="shared" si="176"/>
        <v>0.21646685066607141</v>
      </c>
      <c r="AG290" s="85">
        <f t="shared" si="176"/>
        <v>0.21646685066607141</v>
      </c>
      <c r="AH290" s="85">
        <f t="shared" si="176"/>
        <v>0.21646685066607141</v>
      </c>
      <c r="AI290" s="85">
        <f t="shared" si="176"/>
        <v>0.21646685066607141</v>
      </c>
      <c r="AJ290" s="85">
        <f t="shared" si="176"/>
        <v>0.21646685066607141</v>
      </c>
      <c r="AK290" s="85"/>
      <c r="AL290" s="85"/>
    </row>
    <row r="291" spans="1:38" x14ac:dyDescent="0.15">
      <c r="A291" s="111" t="s">
        <v>356</v>
      </c>
      <c r="B291" s="85">
        <f t="shared" ref="B291:G291" si="177">B289/B290</f>
        <v>2.0697950235224787</v>
      </c>
      <c r="C291" s="85">
        <f t="shared" si="177"/>
        <v>2.0697950235224787</v>
      </c>
      <c r="D291" s="85">
        <f t="shared" si="177"/>
        <v>2.0697950235224787</v>
      </c>
      <c r="E291" s="85">
        <f t="shared" si="177"/>
        <v>2.0697950235224787</v>
      </c>
      <c r="F291" s="85">
        <f t="shared" si="177"/>
        <v>2.0697950235224787</v>
      </c>
      <c r="G291" s="85">
        <f t="shared" si="177"/>
        <v>2.0697950235224787</v>
      </c>
      <c r="H291" s="431"/>
      <c r="I291" s="85">
        <f t="shared" ref="I291:N291" si="178">I289/I290</f>
        <v>2.1160522720010846</v>
      </c>
      <c r="J291" s="85">
        <f t="shared" si="178"/>
        <v>2.1160522720010846</v>
      </c>
      <c r="K291" s="85">
        <f t="shared" si="178"/>
        <v>2.1160522720010846</v>
      </c>
      <c r="L291" s="85">
        <f t="shared" si="178"/>
        <v>2.1160522720010846</v>
      </c>
      <c r="M291" s="85">
        <f t="shared" si="178"/>
        <v>2.1160522720010846</v>
      </c>
      <c r="N291" s="85">
        <f t="shared" si="178"/>
        <v>2.1160522720010846</v>
      </c>
      <c r="O291" s="431"/>
      <c r="P291" s="85">
        <f t="shared" ref="P291:AE291" si="179">P289/P290</f>
        <v>2.1651320929985185</v>
      </c>
      <c r="Q291" s="85">
        <f>Q289/Q290</f>
        <v>2.1651320929985185</v>
      </c>
      <c r="R291" s="85">
        <f>R289/R290</f>
        <v>2.1651320929985185</v>
      </c>
      <c r="S291" s="85">
        <f>S289/S290</f>
        <v>2.1651320929985185</v>
      </c>
      <c r="T291" s="85">
        <f>T289/T290</f>
        <v>2.1651320929985185</v>
      </c>
      <c r="U291" s="85">
        <f>U289/U290</f>
        <v>2.1651320929985185</v>
      </c>
      <c r="V291" s="431"/>
      <c r="W291" s="85">
        <f t="shared" si="179"/>
        <v>2.2124576675800371</v>
      </c>
      <c r="X291" s="85">
        <f t="shared" ref="X291:AC291" si="180">X289/X290</f>
        <v>2.2124576675800371</v>
      </c>
      <c r="Y291" s="85">
        <f t="shared" si="180"/>
        <v>2.2124576675800371</v>
      </c>
      <c r="Z291" s="85">
        <f t="shared" si="180"/>
        <v>2.2124576675800371</v>
      </c>
      <c r="AA291" s="85">
        <f t="shared" si="180"/>
        <v>2.2124576675800371</v>
      </c>
      <c r="AB291" s="85">
        <f t="shared" si="180"/>
        <v>2.2124576675800371</v>
      </c>
      <c r="AC291" s="85">
        <f t="shared" si="180"/>
        <v>2.2124576675800371</v>
      </c>
      <c r="AD291" s="431"/>
      <c r="AE291" s="85">
        <f t="shared" si="179"/>
        <v>2.2635891332469251</v>
      </c>
      <c r="AF291" s="85">
        <f t="shared" ref="AF291" si="181">AF289/AF290</f>
        <v>2.2635891332469251</v>
      </c>
      <c r="AG291" s="85">
        <f t="shared" ref="AG291" si="182">AG289/AG290</f>
        <v>2.2635891332469251</v>
      </c>
      <c r="AH291" s="85">
        <f t="shared" ref="AH291" si="183">AH289/AH290</f>
        <v>2.2635891332469251</v>
      </c>
      <c r="AI291" s="85">
        <f t="shared" ref="AI291" si="184">AI289/AI290</f>
        <v>2.2635891332469251</v>
      </c>
      <c r="AJ291" s="85">
        <f t="shared" ref="AJ291" si="185">AJ289/AJ290</f>
        <v>2.2635891332469251</v>
      </c>
      <c r="AK291" s="85"/>
      <c r="AL291" s="85"/>
    </row>
    <row r="292" spans="1:38" x14ac:dyDescent="0.15">
      <c r="A292" s="111" t="s">
        <v>139</v>
      </c>
      <c r="B292" s="61">
        <v>7</v>
      </c>
      <c r="C292" s="61">
        <v>7</v>
      </c>
      <c r="D292" s="61">
        <v>7</v>
      </c>
      <c r="E292" s="61">
        <v>7</v>
      </c>
      <c r="F292" s="61">
        <v>7</v>
      </c>
      <c r="G292" s="61">
        <v>7</v>
      </c>
      <c r="H292" s="432"/>
      <c r="I292" s="61">
        <v>7</v>
      </c>
      <c r="J292" s="61">
        <v>7</v>
      </c>
      <c r="K292" s="61">
        <v>7</v>
      </c>
      <c r="L292" s="61">
        <v>7</v>
      </c>
      <c r="M292" s="61">
        <v>7</v>
      </c>
      <c r="N292" s="61">
        <v>7</v>
      </c>
      <c r="O292" s="432"/>
      <c r="P292" s="61">
        <v>7</v>
      </c>
      <c r="Q292" s="61">
        <v>7</v>
      </c>
      <c r="R292" s="61">
        <v>7</v>
      </c>
      <c r="S292" s="61">
        <v>7</v>
      </c>
      <c r="T292" s="61">
        <v>7</v>
      </c>
      <c r="U292" s="61">
        <v>7</v>
      </c>
      <c r="V292" s="432"/>
      <c r="W292" s="61">
        <v>7</v>
      </c>
      <c r="X292" s="61">
        <v>7</v>
      </c>
      <c r="Y292" s="61">
        <v>7</v>
      </c>
      <c r="Z292" s="61">
        <v>7</v>
      </c>
      <c r="AA292" s="61">
        <v>7</v>
      </c>
      <c r="AB292" s="61">
        <v>7</v>
      </c>
      <c r="AC292" s="61">
        <v>7</v>
      </c>
      <c r="AD292" s="432"/>
      <c r="AE292" s="61">
        <v>7</v>
      </c>
      <c r="AF292" s="61">
        <v>7</v>
      </c>
      <c r="AG292" s="61">
        <v>7</v>
      </c>
      <c r="AH292" s="61">
        <v>7</v>
      </c>
      <c r="AI292" s="61">
        <v>7</v>
      </c>
      <c r="AJ292" s="61">
        <v>7</v>
      </c>
    </row>
    <row r="293" spans="1:38" x14ac:dyDescent="0.15">
      <c r="A293" s="26"/>
      <c r="B293" s="61"/>
      <c r="C293" s="61"/>
      <c r="D293" s="61"/>
      <c r="E293" s="61"/>
      <c r="F293" s="61"/>
      <c r="G293" s="61"/>
      <c r="H293" s="432"/>
      <c r="I293" s="61"/>
      <c r="J293" s="61"/>
      <c r="K293" s="61"/>
      <c r="L293" s="61"/>
      <c r="M293" s="61"/>
      <c r="N293" s="61"/>
      <c r="O293" s="432"/>
      <c r="P293" s="61"/>
      <c r="Q293" s="61"/>
      <c r="R293" s="61"/>
      <c r="S293" s="61"/>
      <c r="T293" s="61"/>
      <c r="U293" s="61"/>
      <c r="V293" s="432"/>
      <c r="W293" s="61"/>
      <c r="X293" s="61"/>
      <c r="Y293" s="61"/>
      <c r="Z293" s="61"/>
      <c r="AA293" s="61"/>
      <c r="AB293" s="61"/>
      <c r="AC293" s="61"/>
      <c r="AD293" s="432"/>
      <c r="AE293" s="61"/>
      <c r="AF293" s="61"/>
      <c r="AG293" s="61"/>
      <c r="AH293" s="61"/>
      <c r="AI293" s="61"/>
      <c r="AJ293" s="61"/>
      <c r="AK293" s="61"/>
      <c r="AL293" s="61"/>
    </row>
    <row r="294" spans="1:38" x14ac:dyDescent="0.15">
      <c r="A294" s="101" t="s">
        <v>336</v>
      </c>
      <c r="B294" s="85">
        <f t="shared" ref="B294:G294" si="186" xml:space="preserve"> (-0.00000094*(((B4+B5)/2)/2.2046)^3 + 0.000306*(((B4+B5)/2)/2.2046)^2 - 0.0435*(((B4+B5)/2)/2.2046) + 4.414)*0.97</f>
        <v>3.2721653341589789</v>
      </c>
      <c r="C294" s="85">
        <f t="shared" si="186"/>
        <v>3.2721653341589789</v>
      </c>
      <c r="D294" s="85">
        <f t="shared" si="186"/>
        <v>3.2721653341589789</v>
      </c>
      <c r="E294" s="85">
        <f t="shared" si="186"/>
        <v>3.2721653341589789</v>
      </c>
      <c r="F294" s="85">
        <f t="shared" si="186"/>
        <v>3.2721653341589789</v>
      </c>
      <c r="G294" s="85">
        <f t="shared" si="186"/>
        <v>3.2721653341589789</v>
      </c>
      <c r="H294" s="431"/>
      <c r="I294" s="85">
        <f t="shared" ref="I294:N294" si="187" xml:space="preserve"> (-0.00000094*(((I4+I5)/2)/2.2046)^3 + 0.000306*(((I4+I5)/2)/2.2046)^2 - 0.0435*(((I4+I5)/2)/2.2046) + 4.414)*0.97</f>
        <v>2.8932390765976188</v>
      </c>
      <c r="J294" s="85">
        <f t="shared" si="187"/>
        <v>2.8932390765976188</v>
      </c>
      <c r="K294" s="85">
        <f t="shared" si="187"/>
        <v>2.8932390765976188</v>
      </c>
      <c r="L294" s="85">
        <f t="shared" si="187"/>
        <v>2.8932390765976188</v>
      </c>
      <c r="M294" s="85">
        <f t="shared" si="187"/>
        <v>2.8932390765976188</v>
      </c>
      <c r="N294" s="85">
        <f t="shared" si="187"/>
        <v>2.8932390765976188</v>
      </c>
      <c r="O294" s="431"/>
      <c r="P294" s="85">
        <f t="shared" ref="P294:U294" si="188" xml:space="preserve"> (-0.00000094*(((P4+P5)/2)/2.2046)^3 + 0.000306*(((P4+P5)/2)/2.2046)^2 - 0.0435*(((P4+P5)/2)/2.2046) + 4.414)*0.97</f>
        <v>2.5309356646724464</v>
      </c>
      <c r="Q294" s="85">
        <f t="shared" si="188"/>
        <v>2.5309356646724464</v>
      </c>
      <c r="R294" s="85">
        <f t="shared" si="188"/>
        <v>2.5309356646724464</v>
      </c>
      <c r="S294" s="85">
        <f t="shared" si="188"/>
        <v>2.5309356646724464</v>
      </c>
      <c r="T294" s="85">
        <f t="shared" si="188"/>
        <v>2.5309356646724464</v>
      </c>
      <c r="U294" s="85">
        <f t="shared" si="188"/>
        <v>2.5309356646724464</v>
      </c>
      <c r="V294" s="431"/>
      <c r="W294" s="85">
        <f t="shared" ref="W294:AC294" si="189" xml:space="preserve"> (-0.00000094*(((W4+W5)/2)/2.2046)^3 + 0.000306*(((W4+W5)/2)/2.2046)^2 - 0.0435*(((W4+W5)/2)/2.2046) + 4.414)*0.97</f>
        <v>2.240611518898818</v>
      </c>
      <c r="X294" s="85">
        <f t="shared" si="189"/>
        <v>2.240611518898818</v>
      </c>
      <c r="Y294" s="85">
        <f t="shared" si="189"/>
        <v>2.240611518898818</v>
      </c>
      <c r="Z294" s="85">
        <f t="shared" si="189"/>
        <v>2.240611518898818</v>
      </c>
      <c r="AA294" s="85">
        <f t="shared" si="189"/>
        <v>2.240611518898818</v>
      </c>
      <c r="AB294" s="85">
        <f t="shared" si="189"/>
        <v>2.240611518898818</v>
      </c>
      <c r="AC294" s="85">
        <f t="shared" si="189"/>
        <v>2.240611518898818</v>
      </c>
      <c r="AD294" s="431"/>
      <c r="AE294" s="85">
        <f t="shared" ref="AE294:AJ294" si="190" xml:space="preserve"> (-0.00000094*(((AE4+AE5)/2)/2.2046)^3 + 0.000306*(((AE4+AE5)/2)/2.2046)^2 - 0.0435*(((AE4+AE5)/2)/2.2046) + 4.414)*0.97</f>
        <v>1.9611169869957474</v>
      </c>
      <c r="AF294" s="85">
        <f t="shared" si="190"/>
        <v>1.9611169869957474</v>
      </c>
      <c r="AG294" s="85">
        <f t="shared" si="190"/>
        <v>1.9611169869957474</v>
      </c>
      <c r="AH294" s="85">
        <f t="shared" si="190"/>
        <v>1.9611169869957474</v>
      </c>
      <c r="AI294" s="85">
        <f t="shared" si="190"/>
        <v>1.9611169869957474</v>
      </c>
      <c r="AJ294" s="85">
        <f t="shared" si="190"/>
        <v>1.9611169869957474</v>
      </c>
      <c r="AK294" s="4"/>
      <c r="AL294" s="4"/>
    </row>
    <row r="295" spans="1:38" x14ac:dyDescent="0.15">
      <c r="A295" s="100" t="s">
        <v>101</v>
      </c>
      <c r="B295" s="61">
        <f t="shared" ref="B295:G295" si="191">IF(B294="","",B249*2.2046*B294/10000)</f>
        <v>1.1057271232850121</v>
      </c>
      <c r="C295" s="61">
        <f t="shared" si="191"/>
        <v>1.1100769590628503</v>
      </c>
      <c r="D295" s="61">
        <f t="shared" si="191"/>
        <v>1.1140998335559398</v>
      </c>
      <c r="E295" s="61">
        <f t="shared" si="191"/>
        <v>1.1184108633311969</v>
      </c>
      <c r="F295" s="61">
        <f t="shared" si="191"/>
        <v>1.1224459551603887</v>
      </c>
      <c r="G295" s="61">
        <f t="shared" si="191"/>
        <v>1.1259821183902645</v>
      </c>
      <c r="H295" s="432"/>
      <c r="I295" s="61">
        <f t="shared" ref="I295:N295" si="192">IF(I294="","",I249*2.2046*I294/10000)</f>
        <v>0.97455015033246051</v>
      </c>
      <c r="J295" s="61">
        <f t="shared" si="192"/>
        <v>0.97238832261840857</v>
      </c>
      <c r="K295" s="61">
        <f t="shared" si="192"/>
        <v>0.97081105157047909</v>
      </c>
      <c r="L295" s="61">
        <f t="shared" si="192"/>
        <v>0.96857458779457406</v>
      </c>
      <c r="M295" s="61">
        <f t="shared" si="192"/>
        <v>0.96699731674664469</v>
      </c>
      <c r="N295" s="61">
        <f t="shared" si="192"/>
        <v>0.96473704285812723</v>
      </c>
      <c r="O295" s="432"/>
      <c r="P295" s="61">
        <f t="shared" ref="P295:U295" si="193">IF(P294="","",P249*2.2046*P294/10000)</f>
        <v>0.8555020860917546</v>
      </c>
      <c r="Q295" s="61">
        <f t="shared" si="193"/>
        <v>0.8541977455017834</v>
      </c>
      <c r="R295" s="61">
        <f t="shared" si="193"/>
        <v>0.85343963689445568</v>
      </c>
      <c r="S295" s="61">
        <f t="shared" si="193"/>
        <v>0.85213529630448415</v>
      </c>
      <c r="T295" s="61">
        <f t="shared" si="193"/>
        <v>0.85080340177730907</v>
      </c>
      <c r="U295" s="61">
        <f t="shared" si="193"/>
        <v>0.85019836176133945</v>
      </c>
      <c r="V295" s="432"/>
      <c r="W295" s="61">
        <f t="shared" ref="W295:AC295" si="194">IF(W294="","",W249*2.2046*W294/10000)</f>
        <v>0.75851542191069732</v>
      </c>
      <c r="X295" s="61">
        <f t="shared" si="194"/>
        <v>0.75736726748731176</v>
      </c>
      <c r="Y295" s="61">
        <f t="shared" si="194"/>
        <v>0.75621254807217586</v>
      </c>
      <c r="Z295" s="61">
        <f t="shared" si="194"/>
        <v>0.75554140225765964</v>
      </c>
      <c r="AA295" s="61">
        <f t="shared" si="194"/>
        <v>0.75438668284252364</v>
      </c>
      <c r="AB295" s="61">
        <f t="shared" si="194"/>
        <v>0.75320757020793472</v>
      </c>
      <c r="AC295" s="61">
        <f t="shared" si="194"/>
        <v>0.7526719344554742</v>
      </c>
      <c r="AD295" s="432"/>
      <c r="AE295" s="61">
        <f t="shared" ref="AE295:AJ295" si="195">IF(AE294="","",AE249*2.2046*AE294/10000)</f>
        <v>0.65384211622843003</v>
      </c>
      <c r="AF295" s="61">
        <f t="shared" si="195"/>
        <v>0.65485491205039703</v>
      </c>
      <c r="AG295" s="61">
        <f t="shared" si="195"/>
        <v>0.65586770787236415</v>
      </c>
      <c r="AH295" s="61">
        <f t="shared" si="195"/>
        <v>0.65688050369433126</v>
      </c>
      <c r="AI295" s="61">
        <f t="shared" si="195"/>
        <v>0.65789329951629816</v>
      </c>
      <c r="AJ295" s="61">
        <f t="shared" si="195"/>
        <v>0.65882522948716427</v>
      </c>
    </row>
    <row r="297" spans="1:38" x14ac:dyDescent="0.15">
      <c r="B297" s="25"/>
      <c r="C297" s="25"/>
      <c r="D297" s="25"/>
      <c r="E297" s="25"/>
      <c r="F297" s="25"/>
      <c r="G297" s="25"/>
      <c r="H297" s="441"/>
      <c r="I297" s="25"/>
      <c r="J297" s="25"/>
      <c r="K297" s="25"/>
      <c r="L297" s="25"/>
      <c r="M297" s="25"/>
      <c r="N297" s="25"/>
      <c r="O297" s="441"/>
      <c r="P297" s="25"/>
      <c r="Q297" s="25"/>
      <c r="R297" s="25"/>
      <c r="S297" s="25"/>
      <c r="T297" s="25"/>
      <c r="U297" s="25"/>
      <c r="V297" s="441"/>
      <c r="W297" s="25"/>
      <c r="X297" s="25"/>
      <c r="Y297" s="25"/>
      <c r="Z297" s="25"/>
      <c r="AA297" s="25"/>
      <c r="AB297" s="25"/>
      <c r="AC297" s="25"/>
      <c r="AD297" s="441"/>
      <c r="AE297" s="25"/>
      <c r="AF297" s="25"/>
      <c r="AG297" s="25"/>
      <c r="AH297" s="25"/>
      <c r="AI297" s="25"/>
      <c r="AJ297" s="25"/>
      <c r="AK297" s="25"/>
      <c r="AL297" s="25"/>
    </row>
    <row r="298" spans="1:38" x14ac:dyDescent="0.15">
      <c r="A298" s="28" t="s">
        <v>45</v>
      </c>
      <c r="B298" s="12"/>
      <c r="C298" s="12"/>
      <c r="D298" s="12"/>
      <c r="E298" s="12"/>
      <c r="F298" s="12"/>
      <c r="G298" s="12"/>
      <c r="H298" s="443"/>
      <c r="I298" s="12"/>
      <c r="J298" s="12"/>
      <c r="K298" s="12"/>
      <c r="L298" s="12"/>
      <c r="M298" s="12"/>
      <c r="N298" s="12"/>
      <c r="O298" s="443"/>
      <c r="P298" s="12"/>
      <c r="Q298" s="12"/>
      <c r="R298" s="12"/>
      <c r="S298" s="12"/>
      <c r="T298" s="12"/>
      <c r="U298" s="12"/>
      <c r="V298" s="443"/>
      <c r="W298" s="12"/>
      <c r="X298" s="12"/>
      <c r="Y298" s="12"/>
      <c r="Z298" s="12"/>
      <c r="AA298" s="12"/>
      <c r="AB298" s="12"/>
      <c r="AC298" s="12"/>
      <c r="AD298" s="443"/>
      <c r="AE298" s="12"/>
      <c r="AF298" s="12"/>
      <c r="AG298" s="12"/>
      <c r="AH298" s="12"/>
      <c r="AI298" s="12"/>
      <c r="AJ298" s="12"/>
      <c r="AK298" s="12"/>
      <c r="AL298" s="12"/>
    </row>
    <row r="299" spans="1:38" x14ac:dyDescent="0.15">
      <c r="A299" s="5" t="s">
        <v>43</v>
      </c>
      <c r="B299" s="55">
        <f>SUMPRODUCT(B$8:B$217,Nutrients!$DA$8:$DA$217)/2000</f>
        <v>0.19700000000000001</v>
      </c>
      <c r="C299" s="55">
        <f>SUMPRODUCT(C$8:C$217,Nutrients!$DA$8:$DA$217)/2000</f>
        <v>0.23639999999999997</v>
      </c>
      <c r="D299" s="55">
        <f>SUMPRODUCT(D$8:D$217,Nutrients!$DA$8:$DA$217)/2000</f>
        <v>0.27579999999999999</v>
      </c>
      <c r="E299" s="55">
        <f>SUMPRODUCT(E$8:E$217,Nutrients!$DA$8:$DA$217)/2000</f>
        <v>0.31519999999999998</v>
      </c>
      <c r="F299" s="55">
        <f>SUMPRODUCT(F$8:F$217,Nutrients!$DA$8:$DA$217)/2000</f>
        <v>0.35459999999999997</v>
      </c>
      <c r="G299" s="55">
        <f>SUMPRODUCT(G$8:G$217,Nutrients!$DA$8:$DA$217)/2000</f>
        <v>0.39400000000000002</v>
      </c>
      <c r="H299" s="444"/>
      <c r="I299" s="55">
        <f>SUMPRODUCT(I$8:I$217,Nutrients!$DA$8:$DA$217)/2000</f>
        <v>0.21669999999999998</v>
      </c>
      <c r="J299" s="55">
        <f>SUMPRODUCT(J$8:J$217,Nutrients!$DA$8:$DA$217)/2000</f>
        <v>0.22458</v>
      </c>
      <c r="K299" s="55">
        <f>SUMPRODUCT(K$8:K$217,Nutrients!$DA$8:$DA$217)/2000</f>
        <v>0.23246</v>
      </c>
      <c r="L299" s="55">
        <f>SUMPRODUCT(L$8:L$217,Nutrients!$DA$8:$DA$217)/2000</f>
        <v>0.24428</v>
      </c>
      <c r="M299" s="55">
        <f>SUMPRODUCT(M$8:M$217,Nutrients!$DA$8:$DA$217)/2000</f>
        <v>0.25216</v>
      </c>
      <c r="N299" s="55">
        <f>SUMPRODUCT(N$8:N$217,Nutrients!$DA$8:$DA$217)/2000</f>
        <v>0.26003999999999994</v>
      </c>
      <c r="O299" s="444"/>
      <c r="P299" s="55">
        <f>SUMPRODUCT(P$8:P$217,Nutrients!$DA$8:$DA$217)/2000</f>
        <v>0.14971999999999999</v>
      </c>
      <c r="Q299" s="55">
        <f>SUMPRODUCT(Q$8:Q$217,Nutrients!$DA$8:$DA$217)/2000</f>
        <v>0.16547999999999999</v>
      </c>
      <c r="R299" s="55">
        <f>SUMPRODUCT(R$8:R$217,Nutrients!$DA$8:$DA$217)/2000</f>
        <v>0.17729999999999999</v>
      </c>
      <c r="S299" s="55">
        <f>SUMPRODUCT(S$8:S$217,Nutrients!$DA$8:$DA$217)/2000</f>
        <v>0.19306000000000001</v>
      </c>
      <c r="T299" s="55">
        <f>SUMPRODUCT(T$8:T$217,Nutrients!$DA$8:$DA$217)/2000</f>
        <v>0.20882000000000001</v>
      </c>
      <c r="U299" s="55">
        <f>SUMPRODUCT(U$8:U$217,Nutrients!$DA$8:$DA$217)/2000</f>
        <v>0.21669999999999998</v>
      </c>
      <c r="V299" s="444"/>
      <c r="W299" s="55">
        <f>SUMPRODUCT(W$8:W$217,Nutrients!$DA$8:$DA$217)/2000</f>
        <v>0.13395999999999997</v>
      </c>
      <c r="X299" s="55">
        <f>SUMPRODUCT(X$8:X$217,Nutrients!$DA$8:$DA$217)/2000</f>
        <v>0.14971999999999999</v>
      </c>
      <c r="Y299" s="55">
        <f>SUMPRODUCT(Y$8:Y$217,Nutrients!$DA$8:$DA$217)/2000</f>
        <v>0.16547999999999999</v>
      </c>
      <c r="Z299" s="55">
        <f>SUMPRODUCT(Z$8:Z$217,Nutrients!$DA$8:$DA$217)/2000</f>
        <v>0.17729999999999999</v>
      </c>
      <c r="AA299" s="55">
        <f>SUMPRODUCT(AA$8:AA$217,Nutrients!$DA$8:$DA$217)/2000</f>
        <v>0.19306000000000001</v>
      </c>
      <c r="AB299" s="55">
        <f>SUMPRODUCT(AB$8:AB$217,Nutrients!$DA$8:$DA$217)/2000</f>
        <v>0.20882000000000001</v>
      </c>
      <c r="AC299" s="55">
        <f>SUMPRODUCT(AC$8:AC$217,Nutrients!$DA$8:$DA$217)/2000</f>
        <v>0.21669999999999998</v>
      </c>
      <c r="AD299" s="444"/>
      <c r="AE299" s="55">
        <f>SUMPRODUCT(AE$8:AE$217,Nutrients!$DA$8:$DA$217)/2000</f>
        <v>0</v>
      </c>
      <c r="AF299" s="55">
        <f>SUMPRODUCT(AF$8:AF$217,Nutrients!$DA$8:$DA$217)/2000</f>
        <v>4.7279999999999996E-2</v>
      </c>
      <c r="AG299" s="55">
        <f>SUMPRODUCT(AG$8:AG$217,Nutrients!$DA$8:$DA$217)/2000</f>
        <v>9.4559999999999991E-2</v>
      </c>
      <c r="AH299" s="55">
        <f>SUMPRODUCT(AH$8:AH$217,Nutrients!$DA$8:$DA$217)/2000</f>
        <v>0.14183999999999999</v>
      </c>
      <c r="AI299" s="55">
        <f>SUMPRODUCT(AI$8:AI$217,Nutrients!$DA$8:$DA$217)/2000</f>
        <v>0.18911999999999998</v>
      </c>
      <c r="AJ299" s="55">
        <f>SUMPRODUCT(AJ$8:AJ$217,Nutrients!$DA$8:$DA$217)/2000</f>
        <v>0.23639999999999997</v>
      </c>
      <c r="AK299" s="19"/>
      <c r="AL299" s="19"/>
    </row>
    <row r="300" spans="1:38" x14ac:dyDescent="0.15">
      <c r="A300" s="261" t="s">
        <v>382</v>
      </c>
      <c r="B300" s="58">
        <f t="shared" ref="B300:G300" si="196">IF(B$4="","",B248/(B249*2.2046)*10000)</f>
        <v>3.3395065214563764</v>
      </c>
      <c r="C300" s="58">
        <f t="shared" si="196"/>
        <v>3.639740793990315</v>
      </c>
      <c r="D300" s="58">
        <f t="shared" si="196"/>
        <v>3.9387403296424401</v>
      </c>
      <c r="E300" s="58">
        <f t="shared" si="196"/>
        <v>4.2345235649457456</v>
      </c>
      <c r="F300" s="58">
        <f t="shared" si="196"/>
        <v>4.5291088247558227</v>
      </c>
      <c r="G300" s="58">
        <f t="shared" si="196"/>
        <v>4.8238320658031464</v>
      </c>
      <c r="H300" s="437"/>
      <c r="I300" s="58">
        <f t="shared" ref="I300:N300" si="197">IF(I$4="","",I248/(I249*2.2046)*10000)</f>
        <v>2.6874035807354182</v>
      </c>
      <c r="J300" s="58">
        <f t="shared" si="197"/>
        <v>2.954450655366919</v>
      </c>
      <c r="K300" s="58">
        <f t="shared" si="197"/>
        <v>3.2206662638033565</v>
      </c>
      <c r="L300" s="58">
        <f t="shared" si="197"/>
        <v>3.4889442958170034</v>
      </c>
      <c r="M300" s="58">
        <f t="shared" si="197"/>
        <v>3.7570816438991947</v>
      </c>
      <c r="N300" s="58">
        <f t="shared" si="197"/>
        <v>4.0290134387285779</v>
      </c>
      <c r="O300" s="437"/>
      <c r="P300" s="58">
        <f t="shared" ref="P300:AE300" si="198">IF(P$4="","",P248/(P249*2.2046)*10000)</f>
        <v>2.2095123708615505</v>
      </c>
      <c r="Q300" s="58">
        <f>IF(Q$4="","",Q248/(Q249*2.2046)*10000)</f>
        <v>2.4374830743468978</v>
      </c>
      <c r="R300" s="58">
        <f>IF(R$4="","",R248/(R249*2.2046)*10000)</f>
        <v>2.6656205643591258</v>
      </c>
      <c r="S300" s="58">
        <f>IF(S$4="","",S248/(S249*2.2046)*10000)</f>
        <v>2.8948411848813902</v>
      </c>
      <c r="T300" s="58">
        <f>IF(T$4="","",T248/(T249*2.2046)*10000)</f>
        <v>3.1248725431941473</v>
      </c>
      <c r="U300" s="58">
        <f>IF(U$4="","",U248/(U249*2.2046)*10000)</f>
        <v>3.3552198125575408</v>
      </c>
      <c r="V300" s="437"/>
      <c r="W300" s="58">
        <f t="shared" si="198"/>
        <v>1.9822529161971361</v>
      </c>
      <c r="X300" s="58">
        <f t="shared" ref="X300:AC300" si="199">IF(X$4="","",X248/(X249*2.2046)*10000)</f>
        <v>2.2095123708615505</v>
      </c>
      <c r="Y300" s="58">
        <f t="shared" si="199"/>
        <v>2.4374830743468978</v>
      </c>
      <c r="Z300" s="58">
        <f t="shared" si="199"/>
        <v>2.6656205643591258</v>
      </c>
      <c r="AA300" s="58">
        <f t="shared" si="199"/>
        <v>2.8948411848813902</v>
      </c>
      <c r="AB300" s="58">
        <f t="shared" si="199"/>
        <v>3.1248725431941473</v>
      </c>
      <c r="AC300" s="58">
        <f t="shared" si="199"/>
        <v>3.3552198125575408</v>
      </c>
      <c r="AD300" s="437"/>
      <c r="AE300" s="58">
        <f t="shared" si="198"/>
        <v>1.5595427976262377</v>
      </c>
      <c r="AF300" s="58">
        <f t="shared" ref="AF300" si="200">IF(AF$4="","",AF248/(AF249*2.2046)*10000)</f>
        <v>1.7737448219638632</v>
      </c>
      <c r="AG300" s="58">
        <f t="shared" ref="AG300" si="201">IF(AG$4="","",AG248/(AG249*2.2046)*10000)</f>
        <v>1.9872853015640306</v>
      </c>
      <c r="AH300" s="58">
        <f t="shared" ref="AH300" si="202">IF(AH$4="","",AH248/(AH249*2.2046)*10000)</f>
        <v>2.2001672963885213</v>
      </c>
      <c r="AI300" s="58">
        <f t="shared" ref="AI300" si="203">IF(AI$4="","",AI248/(AI249*2.2046)*10000)</f>
        <v>2.4123938475564572</v>
      </c>
      <c r="AJ300" s="58">
        <f t="shared" ref="AJ300" si="204">IF(AJ$4="","",AJ248/(AJ249*2.2046)*10000)</f>
        <v>2.6572239266876005</v>
      </c>
      <c r="AK300" s="58"/>
      <c r="AL300" s="58"/>
    </row>
    <row r="301" spans="1:38" x14ac:dyDescent="0.15">
      <c r="A301" s="261" t="s">
        <v>383</v>
      </c>
      <c r="B301" s="58">
        <f t="shared" ref="B301:G301" si="205">IF(B$4="","",B225/(B249*2.2046)*10000)</f>
        <v>2.959288295685178</v>
      </c>
      <c r="C301" s="58">
        <f t="shared" si="205"/>
        <v>3.2424615592540076</v>
      </c>
      <c r="D301" s="58">
        <f t="shared" si="205"/>
        <v>3.5244582960379893</v>
      </c>
      <c r="E301" s="58">
        <f t="shared" si="205"/>
        <v>3.8034456512132282</v>
      </c>
      <c r="F301" s="58">
        <f t="shared" si="205"/>
        <v>4.0812935774426453</v>
      </c>
      <c r="G301" s="58">
        <f t="shared" si="205"/>
        <v>4.3590816595342003</v>
      </c>
      <c r="H301" s="437"/>
      <c r="I301" s="58">
        <f t="shared" ref="I301:N301" si="206">IF(I$4="","",I225/(I249*2.2046)*10000)</f>
        <v>2.3750355592151822</v>
      </c>
      <c r="J301" s="58">
        <f t="shared" si="206"/>
        <v>2.6183473496987313</v>
      </c>
      <c r="K301" s="58">
        <f t="shared" si="206"/>
        <v>2.8610196691112471</v>
      </c>
      <c r="L301" s="58">
        <f t="shared" si="206"/>
        <v>3.1065946573230749</v>
      </c>
      <c r="M301" s="58">
        <f t="shared" si="206"/>
        <v>3.3510204316713033</v>
      </c>
      <c r="N301" s="58">
        <f t="shared" si="206"/>
        <v>3.5987909012297696</v>
      </c>
      <c r="O301" s="437"/>
      <c r="P301" s="58">
        <f t="shared" ref="P301:AE301" si="207">IF(P$4="","",P225/(P249*2.2046)*10000)</f>
        <v>1.9229738989328991</v>
      </c>
      <c r="Q301" s="58">
        <f>IF(Q$4="","",Q225/(Q249*2.2046)*10000)</f>
        <v>2.1333159542509668</v>
      </c>
      <c r="R301" s="58">
        <f>IF(R$4="","",R225/(R249*2.2046)*10000)</f>
        <v>2.3428009300890977</v>
      </c>
      <c r="S301" s="58">
        <f>IF(S$4="","",S225/(S249*2.2046)*10000)</f>
        <v>2.5542947006863121</v>
      </c>
      <c r="T301" s="58">
        <f>IF(T$4="","",T225/(T249*2.2046)*10000)</f>
        <v>2.766526512738904</v>
      </c>
      <c r="U301" s="58">
        <f>IF(U$4="","",U225/(U249*2.2046)*10000)</f>
        <v>2.9768766660866719</v>
      </c>
      <c r="V301" s="437"/>
      <c r="W301" s="58">
        <f t="shared" si="207"/>
        <v>1.7132870913655802</v>
      </c>
      <c r="X301" s="58">
        <f t="shared" ref="X301:AC301" si="208">IF(X$4="","",X225/(X249*2.2046)*10000)</f>
        <v>1.9229738989328991</v>
      </c>
      <c r="Y301" s="58">
        <f t="shared" si="208"/>
        <v>2.1333159542509668</v>
      </c>
      <c r="Z301" s="58">
        <f t="shared" si="208"/>
        <v>2.3428009300890977</v>
      </c>
      <c r="AA301" s="58">
        <f t="shared" si="208"/>
        <v>2.5542947006863121</v>
      </c>
      <c r="AB301" s="58">
        <f t="shared" si="208"/>
        <v>2.766526512738904</v>
      </c>
      <c r="AC301" s="58">
        <f t="shared" si="208"/>
        <v>2.9768766660866719</v>
      </c>
      <c r="AD301" s="437"/>
      <c r="AE301" s="58">
        <f t="shared" si="207"/>
        <v>1.2897307828264128</v>
      </c>
      <c r="AF301" s="58">
        <f t="shared" ref="AF301" si="209">IF(AF$4="","",AF225/(AF249*2.2046)*10000)</f>
        <v>1.4973675473055179</v>
      </c>
      <c r="AG301" s="58">
        <f t="shared" ref="AG301" si="210">IF(AG$4="","",AG225/(AG249*2.2046)*10000)</f>
        <v>1.7043630432939594</v>
      </c>
      <c r="AH301" s="58">
        <f t="shared" ref="AH301" si="211">IF(AH$4="","",AH225/(AH249*2.2046)*10000)</f>
        <v>1.9107202369661529</v>
      </c>
      <c r="AI301" s="58">
        <f t="shared" ref="AI301" si="212">IF(AI$4="","",AI225/(AI249*2.2046)*10000)</f>
        <v>2.1164420762313698</v>
      </c>
      <c r="AJ301" s="58">
        <f t="shared" ref="AJ301" si="213">IF(AJ$4="","",AJ225/(AJ249*2.2046)*10000)</f>
        <v>2.3515833188911368</v>
      </c>
      <c r="AK301" s="58"/>
      <c r="AL301" s="58"/>
    </row>
    <row r="302" spans="1:38" x14ac:dyDescent="0.15">
      <c r="A302" s="261" t="s">
        <v>138</v>
      </c>
      <c r="B302" s="58">
        <f t="shared" ref="B302:G302" si="214">B248/B255*100</f>
        <v>6.1757629337336519</v>
      </c>
      <c r="C302" s="58">
        <f t="shared" si="214"/>
        <v>6.3825609249239772</v>
      </c>
      <c r="D302" s="58">
        <f t="shared" si="214"/>
        <v>6.567962234758232</v>
      </c>
      <c r="E302" s="58">
        <f t="shared" si="214"/>
        <v>6.7332176014211678</v>
      </c>
      <c r="F302" s="58">
        <f t="shared" si="214"/>
        <v>6.8822022074476159</v>
      </c>
      <c r="G302" s="58">
        <f t="shared" si="214"/>
        <v>7.0182160790284627</v>
      </c>
      <c r="H302" s="437"/>
      <c r="I302" s="58">
        <f t="shared" ref="I302:N302" si="215">I248/I255*100</f>
        <v>6.1320623031480928</v>
      </c>
      <c r="J302" s="58">
        <f t="shared" si="215"/>
        <v>6.2185175700431836</v>
      </c>
      <c r="K302" s="58">
        <f t="shared" si="215"/>
        <v>6.2938303411020042</v>
      </c>
      <c r="L302" s="58">
        <f t="shared" si="215"/>
        <v>6.3790861888508301</v>
      </c>
      <c r="M302" s="58">
        <f t="shared" si="215"/>
        <v>6.4354629934655199</v>
      </c>
      <c r="N302" s="58">
        <f t="shared" si="215"/>
        <v>6.4845803628792194</v>
      </c>
      <c r="O302" s="437"/>
      <c r="P302" s="58">
        <f t="shared" ref="P302:AE302" si="216">P248/P255*100</f>
        <v>5.5933661294062258</v>
      </c>
      <c r="Q302" s="58">
        <f>Q248/Q255*100</f>
        <v>5.7619963034546426</v>
      </c>
      <c r="R302" s="58">
        <f>R248/R255*100</f>
        <v>5.8897814575758796</v>
      </c>
      <c r="S302" s="58">
        <f>S248/S255*100</f>
        <v>6.0215902620062636</v>
      </c>
      <c r="T302" s="58">
        <f>T248/T255*100</f>
        <v>6.1403640913161928</v>
      </c>
      <c r="U302" s="58">
        <f>U248/U255*100</f>
        <v>6.2108235853224336</v>
      </c>
      <c r="V302" s="437"/>
      <c r="W302" s="58">
        <f t="shared" si="216"/>
        <v>5.3999361525394622</v>
      </c>
      <c r="X302" s="58">
        <f t="shared" ref="X302:AC302" si="217">X248/X255*100</f>
        <v>5.5933661294062258</v>
      </c>
      <c r="Y302" s="58">
        <f t="shared" si="217"/>
        <v>5.7619963034546426</v>
      </c>
      <c r="Z302" s="58">
        <f t="shared" si="217"/>
        <v>5.8897814575758796</v>
      </c>
      <c r="AA302" s="58">
        <f t="shared" si="217"/>
        <v>6.0215902620062636</v>
      </c>
      <c r="AB302" s="58">
        <f t="shared" si="217"/>
        <v>6.1403640913161928</v>
      </c>
      <c r="AC302" s="58">
        <f t="shared" si="217"/>
        <v>6.2108235853224336</v>
      </c>
      <c r="AD302" s="437"/>
      <c r="AE302" s="58">
        <f t="shared" si="216"/>
        <v>4.3109952684280399</v>
      </c>
      <c r="AF302" s="58">
        <f t="shared" ref="AF302" si="218">AF248/AF255*100</f>
        <v>4.7377399364585298</v>
      </c>
      <c r="AG302" s="58">
        <f t="shared" ref="AG302" si="219">AG248/AG255*100</f>
        <v>5.1354462299844466</v>
      </c>
      <c r="AH302" s="58">
        <f t="shared" ref="AH302" si="220">AH248/AH255*100</f>
        <v>5.5069805537104983</v>
      </c>
      <c r="AI302" s="58">
        <f t="shared" ref="AI302" si="221">AI248/AI255*100</f>
        <v>5.8548440695590713</v>
      </c>
      <c r="AJ302" s="58">
        <f t="shared" ref="AJ302" si="222">AJ248/AJ255*100</f>
        <v>6.1888439003230928</v>
      </c>
      <c r="AK302" s="58"/>
      <c r="AL302" s="58"/>
    </row>
    <row r="303" spans="1:38" x14ac:dyDescent="0.15">
      <c r="A303" t="s">
        <v>51</v>
      </c>
      <c r="B303" s="57">
        <f>(SUMPRODUCT(B$8:B$217,Nutrients!$K$8:$K$217)+(IF($A$6=Nutrients!$B$8,Nutrients!$K$8,Nutrients!$K$9)*B$6)+(((IF($A$7=Nutrients!$B$79,Nutrients!$K$79,(IF($A$7=Nutrients!$B$77,Nutrients!$K$77,Nutrients!$K$78)))))*B$7))/2000</f>
        <v>4.7438956782885606</v>
      </c>
      <c r="C303" s="57">
        <f>(SUMPRODUCT(C$8:C$217,Nutrients!$K$8:$K$217)+(IF($A$6=Nutrients!$B$8,Nutrients!$K$8,Nutrients!$K$9)*C$6)+(((IF($A$7=Nutrients!$B$79,Nutrients!$K$79,(IF($A$7=Nutrients!$B$77,Nutrients!$K$77,Nutrients!$K$78)))))*C$7))/2000</f>
        <v>4.9255684794643582</v>
      </c>
      <c r="D303" s="57">
        <f>(SUMPRODUCT(D$8:D$217,Nutrients!$K$8:$K$217)+(IF($A$6=Nutrients!$B$8,Nutrients!$K$8,Nutrients!$K$9)*D$6)+(((IF($A$7=Nutrients!$B$79,Nutrients!$K$79,(IF($A$7=Nutrients!$B$77,Nutrients!$K$77,Nutrients!$K$78)))))*D$7))/2000</f>
        <v>5.1059714679513348</v>
      </c>
      <c r="E303" s="57">
        <f>(SUMPRODUCT(E$8:E$217,Nutrients!$K$8:$K$217)+(IF($A$6=Nutrients!$B$8,Nutrients!$K$8,Nutrients!$K$9)*E$6)+(((IF($A$7=Nutrients!$B$79,Nutrients!$K$79,(IF($A$7=Nutrients!$B$77,Nutrients!$K$77,Nutrients!$K$78)))))*E$7))/2000</f>
        <v>5.287100063689067</v>
      </c>
      <c r="F303" s="57">
        <f>(SUMPRODUCT(F$8:F$217,Nutrients!$K$8:$K$217)+(IF($A$6=Nutrients!$B$8,Nutrients!$K$8,Nutrients!$K$9)*F$6)+(((IF($A$7=Nutrients!$B$79,Nutrients!$K$79,(IF($A$7=Nutrients!$B$77,Nutrients!$K$77,Nutrients!$K$78)))))*F$7))/2000</f>
        <v>5.4671402485506659</v>
      </c>
      <c r="G303" s="57">
        <f>(SUMPRODUCT(G$8:G$217,Nutrients!$K$8:$K$217)+(IF($A$6=Nutrients!$B$8,Nutrients!$K$8,Nutrients!$K$9)*G$6)+(((IF($A$7=Nutrients!$B$79,Nutrients!$K$79,(IF($A$7=Nutrients!$B$77,Nutrients!$K$77,Nutrients!$K$78)))))*G$7))/2000</f>
        <v>5.6017642642279739</v>
      </c>
      <c r="H303" s="438"/>
      <c r="I303" s="57">
        <f>(SUMPRODUCT(I$8:I$217,Nutrients!$K$8:$K$217)+(IF($A$6=Nutrients!$B$8,Nutrients!$K$8,Nutrients!$K$9)*I$6)+(((IF($A$7=Nutrients!$B$79,Nutrients!$K$79,(IF($A$7=Nutrients!$B$77,Nutrients!$K$77,Nutrients!$K$78)))))*I$7))/2000</f>
        <v>4.5889060191067204</v>
      </c>
      <c r="J303" s="57">
        <f>(SUMPRODUCT(J$8:J$217,Nutrients!$K$8:$K$217)+(IF($A$6=Nutrients!$B$8,Nutrients!$K$8,Nutrients!$K$9)*J$6)+(((IF($A$7=Nutrients!$B$79,Nutrients!$K$79,(IF($A$7=Nutrients!$B$77,Nutrients!$K$77,Nutrients!$K$78)))))*J$7))/2000</f>
        <v>4.391355622568792</v>
      </c>
      <c r="K303" s="57">
        <f>(SUMPRODUCT(K$8:K$217,Nutrients!$K$8:$K$217)+(IF($A$6=Nutrients!$B$8,Nutrients!$K$8,Nutrients!$K$9)*K$6)+(((IF($A$7=Nutrients!$B$79,Nutrients!$K$79,(IF($A$7=Nutrients!$B$77,Nutrients!$K$77,Nutrients!$K$78)))))*K$7))/2000</f>
        <v>4.2401284042785994</v>
      </c>
      <c r="L303" s="57">
        <f>(SUMPRODUCT(L$8:L$217,Nutrients!$K$8:$K$217)+(IF($A$6=Nutrients!$B$8,Nutrients!$K$8,Nutrients!$K$9)*L$6)+(((IF($A$7=Nutrients!$B$79,Nutrients!$K$79,(IF($A$7=Nutrients!$B$77,Nutrients!$K$77,Nutrients!$K$78)))))*L$7))/2000</f>
        <v>4.045549378035437</v>
      </c>
      <c r="M303" s="57">
        <f>(SUMPRODUCT(M$8:M$217,Nutrients!$K$8:$K$217)+(IF($A$6=Nutrients!$B$8,Nutrients!$K$8,Nutrients!$K$9)*M$6)+(((IF($A$7=Nutrients!$B$79,Nutrients!$K$79,(IF($A$7=Nutrients!$B$77,Nutrients!$K$77,Nutrients!$K$78)))))*M$7))/2000</f>
        <v>3.8943221597452435</v>
      </c>
      <c r="N303" s="57">
        <f>(SUMPRODUCT(N$8:N$217,Nutrients!$K$8:$K$217)+(IF($A$6=Nutrients!$B$8,Nutrients!$K$8,Nutrients!$K$9)*N$6)+(((IF($A$7=Nutrients!$B$79,Nutrients!$K$79,(IF($A$7=Nutrients!$B$77,Nutrients!$K$77,Nutrients!$K$78)))))*N$7))/2000</f>
        <v>3.6964089595819378</v>
      </c>
      <c r="O303" s="438"/>
      <c r="P303" s="57">
        <f>(SUMPRODUCT(P$8:P$217,Nutrients!$K$8:$K$217)+(IF($A$6=Nutrients!$B$8,Nutrients!$K$8,Nutrients!$K$9)*P$6)+(((IF($A$7=Nutrients!$B$79,Nutrients!$K$79,(IF($A$7=Nutrients!$B$77,Nutrients!$K$77,Nutrients!$K$78)))))*P$7))/2000</f>
        <v>4.4505335849105903</v>
      </c>
      <c r="Q303" s="57">
        <f>(SUMPRODUCT(Q$8:Q$217,Nutrients!$K$8:$K$217)+(IF($A$6=Nutrients!$B$8,Nutrients!$K$8,Nutrients!$K$9)*Q$6)+(((IF($A$7=Nutrients!$B$79,Nutrients!$K$79,(IF($A$7=Nutrients!$B$77,Nutrients!$K$77,Nutrients!$K$78)))))*Q$7))/2000</f>
        <v>4.3126343007103785</v>
      </c>
      <c r="R303" s="57">
        <f>(SUMPRODUCT(R$8:R$217,Nutrients!$K$8:$K$217)+(IF($A$6=Nutrients!$B$8,Nutrients!$K$8,Nutrients!$K$9)*R$6)+(((IF($A$7=Nutrients!$B$79,Nutrients!$K$79,(IF($A$7=Nutrients!$B$77,Nutrients!$K$77,Nutrients!$K$78)))))*R$7))/2000</f>
        <v>4.2182682262758222</v>
      </c>
      <c r="S303" s="57">
        <f>(SUMPRODUCT(S$8:S$217,Nutrients!$K$8:$K$217)+(IF($A$6=Nutrients!$B$8,Nutrients!$K$8,Nutrients!$K$9)*S$6)+(((IF($A$7=Nutrients!$B$79,Nutrients!$K$79,(IF($A$7=Nutrients!$B$77,Nutrients!$K$77,Nutrients!$K$78)))))*S$7))/2000</f>
        <v>4.0803689420756104</v>
      </c>
      <c r="T303" s="57">
        <f>(SUMPRODUCT(T$8:T$217,Nutrients!$K$8:$K$217)+(IF($A$6=Nutrients!$B$8,Nutrients!$K$8,Nutrients!$K$9)*T$6)+(((IF($A$7=Nutrients!$B$79,Nutrients!$K$79,(IF($A$7=Nutrients!$B$77,Nutrients!$K$77,Nutrients!$K$78)))))*T$7))/2000</f>
        <v>3.9426510596880866</v>
      </c>
      <c r="U303" s="57">
        <f>(SUMPRODUCT(U$8:U$217,Nutrients!$K$8:$K$217)+(IF($A$6=Nutrients!$B$8,Nutrients!$K$8,Nutrients!$K$9)*U$6)+(((IF($A$7=Nutrients!$B$79,Nutrients!$K$79,(IF($A$7=Nutrients!$B$77,Nutrients!$K$77,Nutrients!$K$78)))))*U$7))/2000</f>
        <v>3.846256904384747</v>
      </c>
      <c r="V303" s="438"/>
      <c r="W303" s="57">
        <f>(SUMPRODUCT(W$8:W$217,Nutrients!$K$8:$K$217)+(IF($A$6=Nutrients!$B$8,Nutrients!$K$8,Nutrients!$K$9)*W$6)+(((IF($A$7=Nutrients!$B$79,Nutrients!$K$79,(IF($A$7=Nutrients!$B$77,Nutrients!$K$77,Nutrients!$K$78)))))*W$7))/2000</f>
        <v>4.5884328691108021</v>
      </c>
      <c r="X303" s="57">
        <f>(SUMPRODUCT(X$8:X$217,Nutrients!$K$8:$K$217)+(IF($A$6=Nutrients!$B$8,Nutrients!$K$8,Nutrients!$K$9)*X$6)+(((IF($A$7=Nutrients!$B$79,Nutrients!$K$79,(IF($A$7=Nutrients!$B$77,Nutrients!$K$77,Nutrients!$K$78)))))*X$7))/2000</f>
        <v>4.4505335849105903</v>
      </c>
      <c r="Y303" s="57">
        <f>(SUMPRODUCT(Y$8:Y$217,Nutrients!$K$8:$K$217)+(IF($A$6=Nutrients!$B$8,Nutrients!$K$8,Nutrients!$K$9)*Y$6)+(((IF($A$7=Nutrients!$B$79,Nutrients!$K$79,(IF($A$7=Nutrients!$B$77,Nutrients!$K$77,Nutrients!$K$78)))))*Y$7))/2000</f>
        <v>4.3126343007103785</v>
      </c>
      <c r="Z303" s="57">
        <f>(SUMPRODUCT(Z$8:Z$217,Nutrients!$K$8:$K$217)+(IF($A$6=Nutrients!$B$8,Nutrients!$K$8,Nutrients!$K$9)*Z$6)+(((IF($A$7=Nutrients!$B$79,Nutrients!$K$79,(IF($A$7=Nutrients!$B$77,Nutrients!$K$77,Nutrients!$K$78)))))*Z$7))/2000</f>
        <v>4.2182682262758222</v>
      </c>
      <c r="AA303" s="57">
        <f>(SUMPRODUCT(AA$8:AA$217,Nutrients!$K$8:$K$217)+(IF($A$6=Nutrients!$B$8,Nutrients!$K$8,Nutrients!$K$9)*AA$6)+(((IF($A$7=Nutrients!$B$79,Nutrients!$K$79,(IF($A$7=Nutrients!$B$77,Nutrients!$K$77,Nutrients!$K$78)))))*AA$7))/2000</f>
        <v>4.0803689420756104</v>
      </c>
      <c r="AB303" s="57">
        <f>(SUMPRODUCT(AB$8:AB$217,Nutrients!$K$8:$K$217)+(IF($A$6=Nutrients!$B$8,Nutrients!$K$8,Nutrients!$K$9)*AB$6)+(((IF($A$7=Nutrients!$B$79,Nutrients!$K$79,(IF($A$7=Nutrients!$B$77,Nutrients!$K$77,Nutrients!$K$78)))))*AB$7))/2000</f>
        <v>3.9426510596880866</v>
      </c>
      <c r="AC303" s="57">
        <f>(SUMPRODUCT(AC$8:AC$217,Nutrients!$K$8:$K$217)+(IF($A$6=Nutrients!$B$8,Nutrients!$K$8,Nutrients!$K$9)*AC$6)+(((IF($A$7=Nutrients!$B$79,Nutrients!$K$79,(IF($A$7=Nutrients!$B$77,Nutrients!$K$77,Nutrients!$K$78)))))*AC$7))/2000</f>
        <v>3.846256904384747</v>
      </c>
      <c r="AD303" s="438"/>
      <c r="AE303" s="57">
        <f>(SUMPRODUCT(AE$8:AE$217,Nutrients!$K$8:$K$217)+(IF($A$6=Nutrients!$B$8,Nutrients!$K$8,Nutrients!$K$9)*AE$6)+(((IF($A$7=Nutrients!$B$79,Nutrients!$K$79,(IF($A$7=Nutrients!$B$77,Nutrients!$K$77,Nutrients!$K$78)))))*AE$7))/2000</f>
        <v>3.5830651000244957</v>
      </c>
      <c r="AF303" s="57">
        <f>(SUMPRODUCT(AF$8:AF$217,Nutrients!$K$8:$K$217)+(IF($A$6=Nutrients!$B$8,Nutrients!$K$8,Nutrients!$K$9)*AF$6)+(((IF($A$7=Nutrients!$B$79,Nutrients!$K$79,(IF($A$7=Nutrients!$B$77,Nutrients!$K$77,Nutrients!$K$78)))))*AF$7))/2000</f>
        <v>3.6550276591491797</v>
      </c>
      <c r="AG303" s="57">
        <f>(SUMPRODUCT(AG$8:AG$217,Nutrients!$K$8:$K$217)+(IF($A$6=Nutrients!$B$8,Nutrients!$K$8,Nutrients!$K$9)*AG$6)+(((IF($A$7=Nutrients!$B$79,Nutrients!$K$79,(IF($A$7=Nutrients!$B$77,Nutrients!$K$77,Nutrients!$K$78)))))*AG$7))/2000</f>
        <v>3.7269902182738628</v>
      </c>
      <c r="AH303" s="57">
        <f>(SUMPRODUCT(AH$8:AH$217,Nutrients!$K$8:$K$217)+(IF($A$6=Nutrients!$B$8,Nutrients!$K$8,Nutrients!$K$9)*AH$6)+(((IF($A$7=Nutrients!$B$79,Nutrients!$K$79,(IF($A$7=Nutrients!$B$77,Nutrients!$K$77,Nutrients!$K$78)))))*AH$7))/2000</f>
        <v>3.7989527773985472</v>
      </c>
      <c r="AI303" s="57">
        <f>(SUMPRODUCT(AI$8:AI$217,Nutrients!$K$8:$K$217)+(IF($A$6=Nutrients!$B$8,Nutrients!$K$8,Nutrients!$K$9)*AI$6)+(((IF($A$7=Nutrients!$B$79,Nutrients!$K$79,(IF($A$7=Nutrients!$B$77,Nutrients!$K$77,Nutrients!$K$78)))))*AI$7))/2000</f>
        <v>3.8709153365232298</v>
      </c>
      <c r="AJ303" s="57">
        <f>(SUMPRODUCT(AJ$8:AJ$217,Nutrients!$K$8:$K$217)+(IF($A$6=Nutrients!$B$8,Nutrients!$K$8,Nutrients!$K$9)*AJ$6)+(((IF($A$7=Nutrients!$B$79,Nutrients!$K$79,(IF($A$7=Nutrients!$B$77,Nutrients!$K$77,Nutrients!$K$78)))))*AJ$7))/2000</f>
        <v>3.9348759359843219</v>
      </c>
      <c r="AK303" s="57"/>
      <c r="AL303" s="57"/>
    </row>
    <row r="304" spans="1:38" x14ac:dyDescent="0.15">
      <c r="A304" t="s">
        <v>48</v>
      </c>
      <c r="B304" s="57">
        <f>(SUMPRODUCT(B$8:B$217,Nutrients!$J$8:$J$217)+(IF($A$6=Nutrients!$B$8,Nutrients!$J$8,Nutrients!$J$9)*B$6)+(((IF($A$7=Nutrients!$B$79,Nutrients!$J$79,(IF($A$7=Nutrients!$B$77,Nutrients!$J$77,Nutrients!$J$78)))))*B$7))/2000</f>
        <v>2.3700269767698212</v>
      </c>
      <c r="C304" s="57">
        <f>(SUMPRODUCT(C$8:C$217,Nutrients!$J$8:$J$217)+(IF($A$6=Nutrients!$B$8,Nutrients!$J$8,Nutrients!$J$9)*C$6)+(((IF($A$7=Nutrients!$B$79,Nutrients!$J$79,(IF($A$7=Nutrients!$B$77,Nutrients!$J$77,Nutrients!$J$78)))))*C$7))/2000</f>
        <v>2.4110402980729977</v>
      </c>
      <c r="D304" s="57">
        <f>(SUMPRODUCT(D$8:D$217,Nutrients!$J$8:$J$217)+(IF($A$6=Nutrients!$B$8,Nutrients!$J$8,Nutrients!$J$9)*D$6)+(((IF($A$7=Nutrients!$B$79,Nutrients!$J$79,(IF($A$7=Nutrients!$B$77,Nutrients!$J$77,Nutrients!$J$78)))))*D$7))/2000</f>
        <v>2.4514111103127298</v>
      </c>
      <c r="E304" s="57">
        <f>(SUMPRODUCT(E$8:E$217,Nutrients!$J$8:$J$217)+(IF($A$6=Nutrients!$B$8,Nutrients!$J$8,Nutrients!$J$9)*E$6)+(((IF($A$7=Nutrients!$B$79,Nutrients!$J$79,(IF($A$7=Nutrients!$B$77,Nutrients!$J$77,Nutrients!$J$78)))))*E$7))/2000</f>
        <v>2.4921490705887153</v>
      </c>
      <c r="F304" s="57">
        <f>(SUMPRODUCT(F$8:F$217,Nutrients!$J$8:$J$217)+(IF($A$6=Nutrients!$B$8,Nutrients!$J$8,Nutrients!$J$9)*F$6)+(((IF($A$7=Nutrients!$B$79,Nutrients!$J$79,(IF($A$7=Nutrients!$B$77,Nutrients!$J$77,Nutrients!$J$78)))))*F$7))/2000</f>
        <v>2.5323363088103208</v>
      </c>
      <c r="G304" s="57">
        <f>(SUMPRODUCT(G$8:G$217,Nutrients!$J$8:$J$217)+(IF($A$6=Nutrients!$B$8,Nutrients!$J$8,Nutrients!$J$9)*G$6)+(((IF($A$7=Nutrients!$B$79,Nutrients!$J$79,(IF($A$7=Nutrients!$B$77,Nutrients!$J$77,Nutrients!$J$78)))))*G$7))/2000</f>
        <v>2.5740839261860047</v>
      </c>
      <c r="H304" s="438"/>
      <c r="I304" s="57">
        <f>(SUMPRODUCT(I$8:I$217,Nutrients!$J$8:$J$217)+(IF($A$6=Nutrients!$B$8,Nutrients!$J$8,Nutrients!$J$9)*I$6)+(((IF($A$7=Nutrients!$B$79,Nutrients!$J$79,(IF($A$7=Nutrients!$B$77,Nutrients!$J$77,Nutrients!$J$78)))))*I$7))/2000</f>
        <v>2.2031144711766149</v>
      </c>
      <c r="J304" s="57">
        <f>(SUMPRODUCT(J$8:J$217,Nutrients!$J$8:$J$217)+(IF($A$6=Nutrients!$B$8,Nutrients!$J$8,Nutrients!$J$9)*J$6)+(((IF($A$7=Nutrients!$B$79,Nutrients!$J$79,(IF($A$7=Nutrients!$B$77,Nutrients!$J$77,Nutrients!$J$78)))))*J$7))/2000</f>
        <v>2.2622161616804113</v>
      </c>
      <c r="K304" s="57">
        <f>(SUMPRODUCT(K$8:K$217,Nutrients!$J$8:$J$217)+(IF($A$6=Nutrients!$B$8,Nutrients!$J$8,Nutrients!$J$9)*K$6)+(((IF($A$7=Nutrients!$B$79,Nutrients!$J$79,(IF($A$7=Nutrients!$B$77,Nutrients!$J$77,Nutrients!$J$78)))))*K$7))/2000</f>
        <v>2.320216408075447</v>
      </c>
      <c r="L304" s="57">
        <f>(SUMPRODUCT(L$8:L$217,Nutrients!$J$8:$J$217)+(IF($A$6=Nutrients!$B$8,Nutrients!$J$8,Nutrients!$J$9)*L$6)+(((IF($A$7=Nutrients!$B$79,Nutrients!$J$79,(IF($A$7=Nutrients!$B$77,Nutrients!$J$77,Nutrients!$J$78)))))*L$7))/2000</f>
        <v>2.37615396732261</v>
      </c>
      <c r="M304" s="57">
        <f>(SUMPRODUCT(M$8:M$217,Nutrients!$J$8:$J$217)+(IF($A$6=Nutrients!$B$8,Nutrients!$J$8,Nutrients!$J$9)*M$6)+(((IF($A$7=Nutrients!$B$79,Nutrients!$J$79,(IF($A$7=Nutrients!$B$77,Nutrients!$J$77,Nutrients!$J$78)))))*M$7))/2000</f>
        <v>2.4341542137176457</v>
      </c>
      <c r="N304" s="57">
        <f>(SUMPRODUCT(N$8:N$217,Nutrients!$J$8:$J$217)+(IF($A$6=Nutrients!$B$8,Nutrients!$J$8,Nutrients!$J$9)*N$6)+(((IF($A$7=Nutrients!$B$79,Nutrients!$J$79,(IF($A$7=Nutrients!$B$77,Nutrients!$J$77,Nutrients!$J$78)))))*N$7))/2000</f>
        <v>2.4930723302033151</v>
      </c>
      <c r="O304" s="438"/>
      <c r="P304" s="57">
        <f>(SUMPRODUCT(P$8:P$217,Nutrients!$J$8:$J$217)+(IF($A$6=Nutrients!$B$8,Nutrients!$J$8,Nutrients!$J$9)*P$6)+(((IF($A$7=Nutrients!$B$79,Nutrients!$J$79,(IF($A$7=Nutrients!$B$77,Nutrients!$J$77,Nutrients!$J$78)))))*P$7))/2000</f>
        <v>2.1574502432759042</v>
      </c>
      <c r="Q304" s="57">
        <f>(SUMPRODUCT(Q$8:Q$217,Nutrients!$J$8:$J$217)+(IF($A$6=Nutrients!$B$8,Nutrients!$J$8,Nutrients!$J$9)*Q$6)+(((IF($A$7=Nutrients!$B$79,Nutrients!$J$79,(IF($A$7=Nutrients!$B$77,Nutrients!$J$77,Nutrients!$J$78)))))*Q$7))/2000</f>
        <v>2.2010123232873355</v>
      </c>
      <c r="R304" s="57">
        <f>(SUMPRODUCT(R$8:R$217,Nutrients!$J$8:$J$217)+(IF($A$6=Nutrients!$B$8,Nutrients!$J$8,Nutrients!$J$9)*R$6)+(((IF($A$7=Nutrients!$B$79,Nutrients!$J$79,(IF($A$7=Nutrients!$B$77,Nutrients!$J$77,Nutrients!$J$78)))))*R$7))/2000</f>
        <v>2.2467288774557033</v>
      </c>
      <c r="S304" s="57">
        <f>(SUMPRODUCT(S$8:S$217,Nutrients!$J$8:$J$217)+(IF($A$6=Nutrients!$B$8,Nutrients!$J$8,Nutrients!$J$9)*S$6)+(((IF($A$7=Nutrients!$B$79,Nutrients!$J$79,(IF($A$7=Nutrients!$B$77,Nutrients!$J$77,Nutrients!$J$78)))))*S$7))/2000</f>
        <v>2.2902909574671346</v>
      </c>
      <c r="T304" s="57">
        <f>(SUMPRODUCT(T$8:T$217,Nutrients!$J$8:$J$217)+(IF($A$6=Nutrients!$B$8,Nutrients!$J$8,Nutrients!$J$9)*T$6)+(((IF($A$7=Nutrients!$B$79,Nutrients!$J$79,(IF($A$7=Nutrients!$B$77,Nutrients!$J$77,Nutrients!$J$78)))))*T$7))/2000</f>
        <v>2.3339448244876295</v>
      </c>
      <c r="U304" s="57">
        <f>(SUMPRODUCT(U$8:U$217,Nutrients!$J$8:$J$217)+(IF($A$6=Nutrients!$B$8,Nutrients!$J$8,Nutrients!$J$9)*U$6)+(((IF($A$7=Nutrients!$B$79,Nutrients!$J$79,(IF($A$7=Nutrients!$B$77,Nutrients!$J$77,Nutrients!$J$78)))))*U$7))/2000</f>
        <v>2.3833028023597618</v>
      </c>
      <c r="V304" s="438"/>
      <c r="W304" s="57">
        <f>(SUMPRODUCT(W$8:W$217,Nutrients!$J$8:$J$217)+(IF($A$6=Nutrients!$B$8,Nutrients!$J$8,Nutrients!$J$9)*W$6)+(((IF($A$7=Nutrients!$B$79,Nutrients!$J$79,(IF($A$7=Nutrients!$B$77,Nutrients!$J$77,Nutrients!$J$78)))))*W$7))/2000</f>
        <v>2.1138881632644728</v>
      </c>
      <c r="X304" s="57">
        <f>(SUMPRODUCT(X$8:X$217,Nutrients!$J$8:$J$217)+(IF($A$6=Nutrients!$B$8,Nutrients!$J$8,Nutrients!$J$9)*X$6)+(((IF($A$7=Nutrients!$B$79,Nutrients!$J$79,(IF($A$7=Nutrients!$B$77,Nutrients!$J$77,Nutrients!$J$78)))))*X$7))/2000</f>
        <v>2.1574502432759042</v>
      </c>
      <c r="Y304" s="57">
        <f>(SUMPRODUCT(Y$8:Y$217,Nutrients!$J$8:$J$217)+(IF($A$6=Nutrients!$B$8,Nutrients!$J$8,Nutrients!$J$9)*Y$6)+(((IF($A$7=Nutrients!$B$79,Nutrients!$J$79,(IF($A$7=Nutrients!$B$77,Nutrients!$J$77,Nutrients!$J$78)))))*Y$7))/2000</f>
        <v>2.2010123232873355</v>
      </c>
      <c r="Z304" s="57">
        <f>(SUMPRODUCT(Z$8:Z$217,Nutrients!$J$8:$J$217)+(IF($A$6=Nutrients!$B$8,Nutrients!$J$8,Nutrients!$J$9)*Z$6)+(((IF($A$7=Nutrients!$B$79,Nutrients!$J$79,(IF($A$7=Nutrients!$B$77,Nutrients!$J$77,Nutrients!$J$78)))))*Z$7))/2000</f>
        <v>2.2467288774557033</v>
      </c>
      <c r="AA304" s="57">
        <f>(SUMPRODUCT(AA$8:AA$217,Nutrients!$J$8:$J$217)+(IF($A$6=Nutrients!$B$8,Nutrients!$J$8,Nutrients!$J$9)*AA$6)+(((IF($A$7=Nutrients!$B$79,Nutrients!$J$79,(IF($A$7=Nutrients!$B$77,Nutrients!$J$77,Nutrients!$J$78)))))*AA$7))/2000</f>
        <v>2.2902909574671346</v>
      </c>
      <c r="AB304" s="57">
        <f>(SUMPRODUCT(AB$8:AB$217,Nutrients!$J$8:$J$217)+(IF($A$6=Nutrients!$B$8,Nutrients!$J$8,Nutrients!$J$9)*AB$6)+(((IF($A$7=Nutrients!$B$79,Nutrients!$J$79,(IF($A$7=Nutrients!$B$77,Nutrients!$J$77,Nutrients!$J$78)))))*AB$7))/2000</f>
        <v>2.3339448244876295</v>
      </c>
      <c r="AC304" s="57">
        <f>(SUMPRODUCT(AC$8:AC$217,Nutrients!$J$8:$J$217)+(IF($A$6=Nutrients!$B$8,Nutrients!$J$8,Nutrients!$J$9)*AC$6)+(((IF($A$7=Nutrients!$B$79,Nutrients!$J$79,(IF($A$7=Nutrients!$B$77,Nutrients!$J$77,Nutrients!$J$78)))))*AC$7))/2000</f>
        <v>2.3833028023597618</v>
      </c>
      <c r="AD304" s="438"/>
      <c r="AE304" s="57">
        <f>(SUMPRODUCT(AE$8:AE$217,Nutrients!$J$8:$J$217)+(IF($A$6=Nutrients!$B$8,Nutrients!$J$8,Nutrients!$J$9)*AE$6)+(((IF($A$7=Nutrients!$B$79,Nutrients!$J$79,(IF($A$7=Nutrients!$B$77,Nutrients!$J$77,Nutrients!$J$78)))))*AE$7))/2000</f>
        <v>2.1260711525271496</v>
      </c>
      <c r="AF304" s="57">
        <f>(SUMPRODUCT(AF$8:AF$217,Nutrients!$J$8:$J$217)+(IF($A$6=Nutrients!$B$8,Nutrients!$J$8,Nutrients!$J$9)*AF$6)+(((IF($A$7=Nutrients!$B$79,Nutrients!$J$79,(IF($A$7=Nutrients!$B$77,Nutrients!$J$77,Nutrients!$J$78)))))*AF$7))/2000</f>
        <v>2.1403182688903404</v>
      </c>
      <c r="AG304" s="57">
        <f>(SUMPRODUCT(AG$8:AG$217,Nutrients!$J$8:$J$217)+(IF($A$6=Nutrients!$B$8,Nutrients!$J$8,Nutrients!$J$9)*AG$6)+(((IF($A$7=Nutrients!$B$79,Nutrients!$J$79,(IF($A$7=Nutrients!$B$77,Nutrients!$J$77,Nutrients!$J$78)))))*AG$7))/2000</f>
        <v>2.1545653852535316</v>
      </c>
      <c r="AH304" s="57">
        <f>(SUMPRODUCT(AH$8:AH$217,Nutrients!$J$8:$J$217)+(IF($A$6=Nutrients!$B$8,Nutrients!$J$8,Nutrients!$J$9)*AH$6)+(((IF($A$7=Nutrients!$B$79,Nutrients!$J$79,(IF($A$7=Nutrients!$B$77,Nutrients!$J$77,Nutrients!$J$78)))))*AH$7))/2000</f>
        <v>2.1688125016167223</v>
      </c>
      <c r="AI304" s="57">
        <f>(SUMPRODUCT(AI$8:AI$217,Nutrients!$J$8:$J$217)+(IF($A$6=Nutrients!$B$8,Nutrients!$J$8,Nutrients!$J$9)*AI$6)+(((IF($A$7=Nutrients!$B$79,Nutrients!$J$79,(IF($A$7=Nutrients!$B$77,Nutrients!$J$77,Nutrients!$J$78)))))*AI$7))/2000</f>
        <v>2.1830596179799135</v>
      </c>
      <c r="AJ304" s="57">
        <f>(SUMPRODUCT(AJ$8:AJ$217,Nutrients!$J$8:$J$217)+(IF($A$6=Nutrients!$B$8,Nutrients!$J$8,Nutrients!$J$9)*AJ$6)+(((IF($A$7=Nutrients!$B$79,Nutrients!$J$79,(IF($A$7=Nutrients!$B$77,Nutrients!$J$77,Nutrients!$J$78)))))*AJ$7))/2000</f>
        <v>2.2051045623826244</v>
      </c>
      <c r="AK304" s="57"/>
      <c r="AL304" s="57"/>
    </row>
    <row r="305" spans="1:38" x14ac:dyDescent="0.15">
      <c r="A305" t="s">
        <v>49</v>
      </c>
      <c r="B305" s="57">
        <f>(SUMPRODUCT(B$8:B$217,Nutrients!$ED$8:$ED$217)+(IF($A$6=Nutrients!$B$8,Nutrients!$ED$8,Nutrients!$ED$9)*B$6)+(((IF($A$7=Nutrients!$B$79,Nutrients!$ED$79,(IF($A$7=Nutrients!$B$77,Nutrients!$ED$77,Nutrients!$ED$78)))))*B$7))/2000</f>
        <v>0</v>
      </c>
      <c r="C305" s="57">
        <f>(SUMPRODUCT(C$8:C$217,Nutrients!$ED$8:$ED$217)+(IF($A$6=Nutrients!$B$8,Nutrients!$ED$8,Nutrients!$ED$9)*C$6)+(((IF($A$7=Nutrients!$B$79,Nutrients!$ED$79,(IF($A$7=Nutrients!$B$77,Nutrients!$ED$77,Nutrients!$ED$78)))))*C$7))/2000</f>
        <v>0</v>
      </c>
      <c r="D305" s="57">
        <f>(SUMPRODUCT(D$8:D$217,Nutrients!$ED$8:$ED$217)+(IF($A$6=Nutrients!$B$8,Nutrients!$ED$8,Nutrients!$ED$9)*D$6)+(((IF($A$7=Nutrients!$B$79,Nutrients!$ED$79,(IF($A$7=Nutrients!$B$77,Nutrients!$ED$77,Nutrients!$ED$78)))))*D$7))/2000</f>
        <v>0</v>
      </c>
      <c r="E305" s="57">
        <f>(SUMPRODUCT(E$8:E$217,Nutrients!$ED$8:$ED$217)+(IF($A$6=Nutrients!$B$8,Nutrients!$ED$8,Nutrients!$ED$9)*E$6)+(((IF($A$7=Nutrients!$B$79,Nutrients!$ED$79,(IF($A$7=Nutrients!$B$77,Nutrients!$ED$77,Nutrients!$ED$78)))))*E$7))/2000</f>
        <v>0</v>
      </c>
      <c r="F305" s="57">
        <f>(SUMPRODUCT(F$8:F$217,Nutrients!$ED$8:$ED$217)+(IF($A$6=Nutrients!$B$8,Nutrients!$ED$8,Nutrients!$ED$9)*F$6)+(((IF($A$7=Nutrients!$B$79,Nutrients!$ED$79,(IF($A$7=Nutrients!$B$77,Nutrients!$ED$77,Nutrients!$ED$78)))))*F$7))/2000</f>
        <v>0</v>
      </c>
      <c r="G305" s="57">
        <f>(SUMPRODUCT(G$8:G$217,Nutrients!$ED$8:$ED$217)+(IF($A$6=Nutrients!$B$8,Nutrients!$ED$8,Nutrients!$ED$9)*G$6)+(((IF($A$7=Nutrients!$B$79,Nutrients!$ED$79,(IF($A$7=Nutrients!$B$77,Nutrients!$ED$77,Nutrients!$ED$78)))))*G$7))/2000</f>
        <v>0</v>
      </c>
      <c r="H305" s="438"/>
      <c r="I305" s="57">
        <f>(SUMPRODUCT(I$8:I$217,Nutrients!$ED$8:$ED$217)+(IF($A$6=Nutrients!$B$8,Nutrients!$ED$8,Nutrients!$ED$9)*I$6)+(((IF($A$7=Nutrients!$B$79,Nutrients!$ED$79,(IF($A$7=Nutrients!$B$77,Nutrients!$ED$77,Nutrients!$ED$78)))))*I$7))/2000</f>
        <v>0</v>
      </c>
      <c r="J305" s="57">
        <f>(SUMPRODUCT(J$8:J$217,Nutrients!$ED$8:$ED$217)+(IF($A$6=Nutrients!$B$8,Nutrients!$ED$8,Nutrients!$ED$9)*J$6)+(((IF($A$7=Nutrients!$B$79,Nutrients!$ED$79,(IF($A$7=Nutrients!$B$77,Nutrients!$ED$77,Nutrients!$ED$78)))))*J$7))/2000</f>
        <v>0</v>
      </c>
      <c r="K305" s="57">
        <f>(SUMPRODUCT(K$8:K$217,Nutrients!$ED$8:$ED$217)+(IF($A$6=Nutrients!$B$8,Nutrients!$ED$8,Nutrients!$ED$9)*K$6)+(((IF($A$7=Nutrients!$B$79,Nutrients!$ED$79,(IF($A$7=Nutrients!$B$77,Nutrients!$ED$77,Nutrients!$ED$78)))))*K$7))/2000</f>
        <v>0</v>
      </c>
      <c r="L305" s="57">
        <f>(SUMPRODUCT(L$8:L$217,Nutrients!$ED$8:$ED$217)+(IF($A$6=Nutrients!$B$8,Nutrients!$ED$8,Nutrients!$ED$9)*L$6)+(((IF($A$7=Nutrients!$B$79,Nutrients!$ED$79,(IF($A$7=Nutrients!$B$77,Nutrients!$ED$77,Nutrients!$ED$78)))))*L$7))/2000</f>
        <v>0</v>
      </c>
      <c r="M305" s="57">
        <f>(SUMPRODUCT(M$8:M$217,Nutrients!$ED$8:$ED$217)+(IF($A$6=Nutrients!$B$8,Nutrients!$ED$8,Nutrients!$ED$9)*M$6)+(((IF($A$7=Nutrients!$B$79,Nutrients!$ED$79,(IF($A$7=Nutrients!$B$77,Nutrients!$ED$77,Nutrients!$ED$78)))))*M$7))/2000</f>
        <v>0</v>
      </c>
      <c r="N305" s="57">
        <f>(SUMPRODUCT(N$8:N$217,Nutrients!$ED$8:$ED$217)+(IF($A$6=Nutrients!$B$8,Nutrients!$ED$8,Nutrients!$ED$9)*N$6)+(((IF($A$7=Nutrients!$B$79,Nutrients!$ED$79,(IF($A$7=Nutrients!$B$77,Nutrients!$ED$77,Nutrients!$ED$78)))))*N$7))/2000</f>
        <v>0</v>
      </c>
      <c r="O305" s="438"/>
      <c r="P305" s="57">
        <f>(SUMPRODUCT(P$8:P$217,Nutrients!$ED$8:$ED$217)+(IF($A$6=Nutrients!$B$8,Nutrients!$ED$8,Nutrients!$ED$9)*P$6)+(((IF($A$7=Nutrients!$B$79,Nutrients!$ED$79,(IF($A$7=Nutrients!$B$77,Nutrients!$ED$77,Nutrients!$ED$78)))))*P$7))/2000</f>
        <v>0</v>
      </c>
      <c r="Q305" s="57">
        <f>(SUMPRODUCT(Q$8:Q$217,Nutrients!$ED$8:$ED$217)+(IF($A$6=Nutrients!$B$8,Nutrients!$ED$8,Nutrients!$ED$9)*Q$6)+(((IF($A$7=Nutrients!$B$79,Nutrients!$ED$79,(IF($A$7=Nutrients!$B$77,Nutrients!$ED$77,Nutrients!$ED$78)))))*Q$7))/2000</f>
        <v>0</v>
      </c>
      <c r="R305" s="57">
        <f>(SUMPRODUCT(R$8:R$217,Nutrients!$ED$8:$ED$217)+(IF($A$6=Nutrients!$B$8,Nutrients!$ED$8,Nutrients!$ED$9)*R$6)+(((IF($A$7=Nutrients!$B$79,Nutrients!$ED$79,(IF($A$7=Nutrients!$B$77,Nutrients!$ED$77,Nutrients!$ED$78)))))*R$7))/2000</f>
        <v>0</v>
      </c>
      <c r="S305" s="57">
        <f>(SUMPRODUCT(S$8:S$217,Nutrients!$ED$8:$ED$217)+(IF($A$6=Nutrients!$B$8,Nutrients!$ED$8,Nutrients!$ED$9)*S$6)+(((IF($A$7=Nutrients!$B$79,Nutrients!$ED$79,(IF($A$7=Nutrients!$B$77,Nutrients!$ED$77,Nutrients!$ED$78)))))*S$7))/2000</f>
        <v>0</v>
      </c>
      <c r="T305" s="57">
        <f>(SUMPRODUCT(T$8:T$217,Nutrients!$ED$8:$ED$217)+(IF($A$6=Nutrients!$B$8,Nutrients!$ED$8,Nutrients!$ED$9)*T$6)+(((IF($A$7=Nutrients!$B$79,Nutrients!$ED$79,(IF($A$7=Nutrients!$B$77,Nutrients!$ED$77,Nutrients!$ED$78)))))*T$7))/2000</f>
        <v>0</v>
      </c>
      <c r="U305" s="57">
        <f>(SUMPRODUCT(U$8:U$217,Nutrients!$ED$8:$ED$217)+(IF($A$6=Nutrients!$B$8,Nutrients!$ED$8,Nutrients!$ED$9)*U$6)+(((IF($A$7=Nutrients!$B$79,Nutrients!$ED$79,(IF($A$7=Nutrients!$B$77,Nutrients!$ED$77,Nutrients!$ED$78)))))*U$7))/2000</f>
        <v>0</v>
      </c>
      <c r="V305" s="438"/>
      <c r="W305" s="57">
        <f>(SUMPRODUCT(W$8:W$217,Nutrients!$ED$8:$ED$217)+(IF($A$6=Nutrients!$B$8,Nutrients!$ED$8,Nutrients!$ED$9)*W$6)+(((IF($A$7=Nutrients!$B$79,Nutrients!$ED$79,(IF($A$7=Nutrients!$B$77,Nutrients!$ED$77,Nutrients!$ED$78)))))*W$7))/2000</f>
        <v>0</v>
      </c>
      <c r="X305" s="57">
        <f>(SUMPRODUCT(X$8:X$217,Nutrients!$ED$8:$ED$217)+(IF($A$6=Nutrients!$B$8,Nutrients!$ED$8,Nutrients!$ED$9)*X$6)+(((IF($A$7=Nutrients!$B$79,Nutrients!$ED$79,(IF($A$7=Nutrients!$B$77,Nutrients!$ED$77,Nutrients!$ED$78)))))*X$7))/2000</f>
        <v>0</v>
      </c>
      <c r="Y305" s="57">
        <f>(SUMPRODUCT(Y$8:Y$217,Nutrients!$ED$8:$ED$217)+(IF($A$6=Nutrients!$B$8,Nutrients!$ED$8,Nutrients!$ED$9)*Y$6)+(((IF($A$7=Nutrients!$B$79,Nutrients!$ED$79,(IF($A$7=Nutrients!$B$77,Nutrients!$ED$77,Nutrients!$ED$78)))))*Y$7))/2000</f>
        <v>0</v>
      </c>
      <c r="Z305" s="57">
        <f>(SUMPRODUCT(Z$8:Z$217,Nutrients!$ED$8:$ED$217)+(IF($A$6=Nutrients!$B$8,Nutrients!$ED$8,Nutrients!$ED$9)*Z$6)+(((IF($A$7=Nutrients!$B$79,Nutrients!$ED$79,(IF($A$7=Nutrients!$B$77,Nutrients!$ED$77,Nutrients!$ED$78)))))*Z$7))/2000</f>
        <v>0</v>
      </c>
      <c r="AA305" s="57">
        <f>(SUMPRODUCT(AA$8:AA$217,Nutrients!$ED$8:$ED$217)+(IF($A$6=Nutrients!$B$8,Nutrients!$ED$8,Nutrients!$ED$9)*AA$6)+(((IF($A$7=Nutrients!$B$79,Nutrients!$ED$79,(IF($A$7=Nutrients!$B$77,Nutrients!$ED$77,Nutrients!$ED$78)))))*AA$7))/2000</f>
        <v>0</v>
      </c>
      <c r="AB305" s="57">
        <f>(SUMPRODUCT(AB$8:AB$217,Nutrients!$ED$8:$ED$217)+(IF($A$6=Nutrients!$B$8,Nutrients!$ED$8,Nutrients!$ED$9)*AB$6)+(((IF($A$7=Nutrients!$B$79,Nutrients!$ED$79,(IF($A$7=Nutrients!$B$77,Nutrients!$ED$77,Nutrients!$ED$78)))))*AB$7))/2000</f>
        <v>0</v>
      </c>
      <c r="AC305" s="57">
        <f>(SUMPRODUCT(AC$8:AC$217,Nutrients!$ED$8:$ED$217)+(IF($A$6=Nutrients!$B$8,Nutrients!$ED$8,Nutrients!$ED$9)*AC$6)+(((IF($A$7=Nutrients!$B$79,Nutrients!$ED$79,(IF($A$7=Nutrients!$B$77,Nutrients!$ED$77,Nutrients!$ED$78)))))*AC$7))/2000</f>
        <v>0</v>
      </c>
      <c r="AD305" s="438"/>
      <c r="AE305" s="57">
        <f>(SUMPRODUCT(AE$8:AE$217,Nutrients!$ED$8:$ED$217)+(IF($A$6=Nutrients!$B$8,Nutrients!$ED$8,Nutrients!$ED$9)*AE$6)+(((IF($A$7=Nutrients!$B$79,Nutrients!$ED$79,(IF($A$7=Nutrients!$B$77,Nutrients!$ED$77,Nutrients!$ED$78)))))*AE$7))/2000</f>
        <v>0</v>
      </c>
      <c r="AF305" s="57">
        <f>(SUMPRODUCT(AF$8:AF$217,Nutrients!$ED$8:$ED$217)+(IF($A$6=Nutrients!$B$8,Nutrients!$ED$8,Nutrients!$ED$9)*AF$6)+(((IF($A$7=Nutrients!$B$79,Nutrients!$ED$79,(IF($A$7=Nutrients!$B$77,Nutrients!$ED$77,Nutrients!$ED$78)))))*AF$7))/2000</f>
        <v>0</v>
      </c>
      <c r="AG305" s="57">
        <f>(SUMPRODUCT(AG$8:AG$217,Nutrients!$ED$8:$ED$217)+(IF($A$6=Nutrients!$B$8,Nutrients!$ED$8,Nutrients!$ED$9)*AG$6)+(((IF($A$7=Nutrients!$B$79,Nutrients!$ED$79,(IF($A$7=Nutrients!$B$77,Nutrients!$ED$77,Nutrients!$ED$78)))))*AG$7))/2000</f>
        <v>0</v>
      </c>
      <c r="AH305" s="57">
        <f>(SUMPRODUCT(AH$8:AH$217,Nutrients!$ED$8:$ED$217)+(IF($A$6=Nutrients!$B$8,Nutrients!$ED$8,Nutrients!$ED$9)*AH$6)+(((IF($A$7=Nutrients!$B$79,Nutrients!$ED$79,(IF($A$7=Nutrients!$B$77,Nutrients!$ED$77,Nutrients!$ED$78)))))*AH$7))/2000</f>
        <v>0</v>
      </c>
      <c r="AI305" s="57">
        <f>(SUMPRODUCT(AI$8:AI$217,Nutrients!$ED$8:$ED$217)+(IF($A$6=Nutrients!$B$8,Nutrients!$ED$8,Nutrients!$ED$9)*AI$6)+(((IF($A$7=Nutrients!$B$79,Nutrients!$ED$79,(IF($A$7=Nutrients!$B$77,Nutrients!$ED$77,Nutrients!$ED$78)))))*AI$7))/2000</f>
        <v>0</v>
      </c>
      <c r="AJ305" s="57">
        <f>(SUMPRODUCT(AJ$8:AJ$217,Nutrients!$ED$8:$ED$217)+(IF($A$6=Nutrients!$B$8,Nutrients!$ED$8,Nutrients!$ED$9)*AJ$6)+(((IF($A$7=Nutrients!$B$79,Nutrients!$ED$79,(IF($A$7=Nutrients!$B$77,Nutrients!$ED$77,Nutrients!$ED$78)))))*AJ$7))/2000</f>
        <v>0</v>
      </c>
      <c r="AK305" s="57"/>
      <c r="AL305" s="57"/>
    </row>
    <row r="306" spans="1:38" x14ac:dyDescent="0.15">
      <c r="A306" t="s">
        <v>52</v>
      </c>
      <c r="B306" s="57">
        <f>(SUMPRODUCT(B$8:B$217,Nutrients!$EH$8:$EH$217)+(IF($A$6=Nutrients!$B$8,Nutrients!$EH$8,Nutrients!$EH$9)*B$6)+(((IF($A$7=Nutrients!$B$79,Nutrients!$EH$79,(IF($A$7=Nutrients!$B$77,Nutrients!$EH$77,Nutrients!$EH$78)))))*B$7))/2000</f>
        <v>47.048695978607014</v>
      </c>
      <c r="C306" s="57">
        <f>(SUMPRODUCT(C$8:C$217,Nutrients!$EH$8:$EH$217)+(IF($A$6=Nutrients!$B$8,Nutrients!$EH$8,Nutrients!$EH$9)*C$6)+(((IF($A$7=Nutrients!$B$79,Nutrients!$EH$79,(IF($A$7=Nutrients!$B$77,Nutrients!$EH$77,Nutrients!$EH$78)))))*C$7))/2000</f>
        <v>47.788355993304485</v>
      </c>
      <c r="D306" s="57">
        <f>(SUMPRODUCT(D$8:D$217,Nutrients!$EH$8:$EH$217)+(IF($A$6=Nutrients!$B$8,Nutrients!$EH$8,Nutrients!$EH$9)*D$6)+(((IF($A$7=Nutrients!$B$79,Nutrients!$EH$79,(IF($A$7=Nutrients!$B$77,Nutrients!$EH$77,Nutrients!$EH$78)))))*D$7))/2000</f>
        <v>48.512143349391685</v>
      </c>
      <c r="E306" s="57">
        <f>(SUMPRODUCT(E$8:E$217,Nutrients!$EH$8:$EH$217)+(IF($A$6=Nutrients!$B$8,Nutrients!$EH$8,Nutrients!$EH$9)*E$6)+(((IF($A$7=Nutrients!$B$79,Nutrients!$EH$79,(IF($A$7=Nutrients!$B$77,Nutrients!$EH$77,Nutrients!$EH$78)))))*E$7))/2000</f>
        <v>49.245000796113331</v>
      </c>
      <c r="F306" s="57">
        <f>(SUMPRODUCT(F$8:F$217,Nutrients!$EH$8:$EH$217)+(IF($A$6=Nutrients!$B$8,Nutrients!$EH$8,Nutrients!$EH$9)*F$6)+(((IF($A$7=Nutrients!$B$79,Nutrients!$EH$79,(IF($A$7=Nutrients!$B$77,Nutrients!$EH$77,Nutrients!$EH$78)))))*F$7))/2000</f>
        <v>49.964253106883319</v>
      </c>
      <c r="G306" s="57">
        <f>(SUMPRODUCT(G$8:G$217,Nutrients!$EH$8:$EH$217)+(IF($A$6=Nutrients!$B$8,Nutrients!$EH$8,Nutrients!$EH$9)*G$6)+(((IF($A$7=Nutrients!$B$79,Nutrients!$EH$79,(IF($A$7=Nutrients!$B$77,Nutrients!$EH$77,Nutrients!$EH$78)))))*G$7))/2000</f>
        <v>50.422053302849683</v>
      </c>
      <c r="H306" s="438"/>
      <c r="I306" s="57">
        <f>(SUMPRODUCT(I$8:I$217,Nutrients!$EH$8:$EH$217)+(IF($A$6=Nutrients!$B$8,Nutrients!$EH$8,Nutrients!$EH$9)*I$6)+(((IF($A$7=Nutrients!$B$79,Nutrients!$EH$79,(IF($A$7=Nutrients!$B$77,Nutrients!$EH$77,Nutrients!$EH$78)))))*I$7))/2000</f>
        <v>47.255075238834003</v>
      </c>
      <c r="J306" s="57">
        <f>(SUMPRODUCT(J$8:J$217,Nutrients!$EH$8:$EH$217)+(IF($A$6=Nutrients!$B$8,Nutrients!$EH$8,Nutrients!$EH$9)*J$6)+(((IF($A$7=Nutrients!$B$79,Nutrients!$EH$79,(IF($A$7=Nutrients!$B$77,Nutrients!$EH$77,Nutrients!$EH$78)))))*J$7))/2000</f>
        <v>45.704445282109901</v>
      </c>
      <c r="K306" s="57">
        <f>(SUMPRODUCT(K$8:K$217,Nutrients!$EH$8:$EH$217)+(IF($A$6=Nutrients!$B$8,Nutrients!$EH$8,Nutrients!$EH$9)*K$6)+(((IF($A$7=Nutrients!$B$79,Nutrients!$EH$79,(IF($A$7=Nutrients!$B$77,Nutrients!$EH$77,Nutrients!$EH$78)))))*K$7))/2000</f>
        <v>44.42660505348249</v>
      </c>
      <c r="L306" s="57">
        <f>(SUMPRODUCT(L$8:L$217,Nutrients!$EH$8:$EH$217)+(IF($A$6=Nutrients!$B$8,Nutrients!$EH$8,Nutrients!$EH$9)*L$6)+(((IF($A$7=Nutrients!$B$79,Nutrients!$EH$79,(IF($A$7=Nutrients!$B$77,Nutrients!$EH$77,Nutrients!$EH$78)))))*L$7))/2000</f>
        <v>42.913117225442967</v>
      </c>
      <c r="M306" s="57">
        <f>(SUMPRODUCT(M$8:M$217,Nutrients!$EH$8:$EH$217)+(IF($A$6=Nutrients!$B$8,Nutrients!$EH$8,Nutrients!$EH$9)*M$6)+(((IF($A$7=Nutrients!$B$79,Nutrients!$EH$79,(IF($A$7=Nutrients!$B$77,Nutrients!$EH$77,Nutrients!$EH$78)))))*M$7))/2000</f>
        <v>41.635276996815549</v>
      </c>
      <c r="N306" s="57">
        <f>(SUMPRODUCT(N$8:N$217,Nutrients!$EH$8:$EH$217)+(IF($A$6=Nutrients!$B$8,Nutrients!$EH$8,Nutrients!$EH$9)*N$6)+(((IF($A$7=Nutrients!$B$79,Nutrients!$EH$79,(IF($A$7=Nutrients!$B$77,Nutrients!$EH$77,Nutrients!$EH$78)))))*N$7))/2000</f>
        <v>40.080111994774228</v>
      </c>
      <c r="O306" s="438"/>
      <c r="P306" s="57">
        <f>(SUMPRODUCT(P$8:P$217,Nutrients!$EH$8:$EH$217)+(IF($A$6=Nutrients!$B$8,Nutrients!$EH$8,Nutrients!$EH$9)*P$6)+(((IF($A$7=Nutrients!$B$79,Nutrients!$EH$79,(IF($A$7=Nutrients!$B$77,Nutrients!$EH$77,Nutrients!$EH$78)))))*P$7))/2000</f>
        <v>47.056669811382378</v>
      </c>
      <c r="Q306" s="57">
        <f>(SUMPRODUCT(Q$8:Q$217,Nutrients!$EH$8:$EH$217)+(IF($A$6=Nutrients!$B$8,Nutrients!$EH$8,Nutrients!$EH$9)*Q$6)+(((IF($A$7=Nutrients!$B$79,Nutrients!$EH$79,(IF($A$7=Nutrients!$B$77,Nutrients!$EH$77,Nutrients!$EH$78)))))*Q$7))/2000</f>
        <v>45.945428758879721</v>
      </c>
      <c r="R306" s="57">
        <f>(SUMPRODUCT(R$8:R$217,Nutrients!$EH$8:$EH$217)+(IF($A$6=Nutrients!$B$8,Nutrients!$EH$8,Nutrients!$EH$9)*R$6)+(((IF($A$7=Nutrients!$B$79,Nutrients!$EH$79,(IF($A$7=Nutrients!$B$77,Nutrients!$EH$77,Nutrients!$EH$78)))))*R$7))/2000</f>
        <v>45.07210282844779</v>
      </c>
      <c r="S306" s="57">
        <f>(SUMPRODUCT(S$8:S$217,Nutrients!$EH$8:$EH$217)+(IF($A$6=Nutrients!$B$8,Nutrients!$EH$8,Nutrients!$EH$9)*S$6)+(((IF($A$7=Nutrients!$B$79,Nutrients!$EH$79,(IF($A$7=Nutrients!$B$77,Nutrients!$EH$77,Nutrients!$EH$78)))))*S$7))/2000</f>
        <v>43.960861775945133</v>
      </c>
      <c r="T306" s="57">
        <f>(SUMPRODUCT(T$8:T$217,Nutrients!$EH$8:$EH$217)+(IF($A$6=Nutrients!$B$8,Nutrients!$EH$8,Nutrients!$EH$9)*T$6)+(((IF($A$7=Nutrients!$B$79,Nutrients!$EH$79,(IF($A$7=Nutrients!$B$77,Nutrients!$EH$77,Nutrients!$EH$78)))))*T$7))/2000</f>
        <v>42.85188824610109</v>
      </c>
      <c r="U306" s="57">
        <f>(SUMPRODUCT(U$8:U$217,Nutrients!$EH$8:$EH$217)+(IF($A$6=Nutrients!$B$8,Nutrients!$EH$8,Nutrients!$EH$9)*U$6)+(((IF($A$7=Nutrients!$B$79,Nutrients!$EH$79,(IF($A$7=Nutrients!$B$77,Nutrients!$EH$77,Nutrients!$EH$78)))))*U$7))/2000</f>
        <v>41.953211304809336</v>
      </c>
      <c r="V306" s="438"/>
      <c r="W306" s="57">
        <f>(SUMPRODUCT(W$8:W$217,Nutrients!$EH$8:$EH$217)+(IF($A$6=Nutrients!$B$8,Nutrients!$EH$8,Nutrients!$EH$9)*W$6)+(((IF($A$7=Nutrients!$B$79,Nutrients!$EH$79,(IF($A$7=Nutrients!$B$77,Nutrients!$EH$77,Nutrients!$EH$78)))))*W$7))/2000</f>
        <v>48.16791086388502</v>
      </c>
      <c r="X306" s="57">
        <f>(SUMPRODUCT(X$8:X$217,Nutrients!$EH$8:$EH$217)+(IF($A$6=Nutrients!$B$8,Nutrients!$EH$8,Nutrients!$EH$9)*X$6)+(((IF($A$7=Nutrients!$B$79,Nutrients!$EH$79,(IF($A$7=Nutrients!$B$77,Nutrients!$EH$77,Nutrients!$EH$78)))))*X$7))/2000</f>
        <v>47.056669811382378</v>
      </c>
      <c r="Y306" s="57">
        <f>(SUMPRODUCT(Y$8:Y$217,Nutrients!$EH$8:$EH$217)+(IF($A$6=Nutrients!$B$8,Nutrients!$EH$8,Nutrients!$EH$9)*Y$6)+(((IF($A$7=Nutrients!$B$79,Nutrients!$EH$79,(IF($A$7=Nutrients!$B$77,Nutrients!$EH$77,Nutrients!$EH$78)))))*Y$7))/2000</f>
        <v>45.945428758879721</v>
      </c>
      <c r="Z306" s="57">
        <f>(SUMPRODUCT(Z$8:Z$217,Nutrients!$EH$8:$EH$217)+(IF($A$6=Nutrients!$B$8,Nutrients!$EH$8,Nutrients!$EH$9)*Z$6)+(((IF($A$7=Nutrients!$B$79,Nutrients!$EH$79,(IF($A$7=Nutrients!$B$77,Nutrients!$EH$77,Nutrients!$EH$78)))))*Z$7))/2000</f>
        <v>45.07210282844779</v>
      </c>
      <c r="AA306" s="57">
        <f>(SUMPRODUCT(AA$8:AA$217,Nutrients!$EH$8:$EH$217)+(IF($A$6=Nutrients!$B$8,Nutrients!$EH$8,Nutrients!$EH$9)*AA$6)+(((IF($A$7=Nutrients!$B$79,Nutrients!$EH$79,(IF($A$7=Nutrients!$B$77,Nutrients!$EH$77,Nutrients!$EH$78)))))*AA$7))/2000</f>
        <v>43.960861775945133</v>
      </c>
      <c r="AB306" s="57">
        <f>(SUMPRODUCT(AB$8:AB$217,Nutrients!$EH$8:$EH$217)+(IF($A$6=Nutrients!$B$8,Nutrients!$EH$8,Nutrients!$EH$9)*AB$6)+(((IF($A$7=Nutrients!$B$79,Nutrients!$EH$79,(IF($A$7=Nutrients!$B$77,Nutrients!$EH$77,Nutrients!$EH$78)))))*AB$7))/2000</f>
        <v>42.85188824610109</v>
      </c>
      <c r="AC306" s="57">
        <f>(SUMPRODUCT(AC$8:AC$217,Nutrients!$EH$8:$EH$217)+(IF($A$6=Nutrients!$B$8,Nutrients!$EH$8,Nutrients!$EH$9)*AC$6)+(((IF($A$7=Nutrients!$B$79,Nutrients!$EH$79,(IF($A$7=Nutrients!$B$77,Nutrients!$EH$77,Nutrients!$EH$78)))))*AC$7))/2000</f>
        <v>41.953211304809336</v>
      </c>
      <c r="AD306" s="438"/>
      <c r="AE306" s="57">
        <f>(SUMPRODUCT(AE$8:AE$217,Nutrients!$EH$8:$EH$217)+(IF($A$6=Nutrients!$B$8,Nutrients!$EH$8,Nutrients!$EH$9)*AE$6)+(((IF($A$7=Nutrients!$B$79,Nutrients!$EH$79,(IF($A$7=Nutrients!$B$77,Nutrients!$EH$77,Nutrients!$EH$78)))))*AE$7))/2000</f>
        <v>42.338313750306199</v>
      </c>
      <c r="AF306" s="57">
        <f>(SUMPRODUCT(AF$8:AF$217,Nutrients!$EH$8:$EH$217)+(IF($A$6=Nutrients!$B$8,Nutrients!$EH$8,Nutrients!$EH$9)*AF$6)+(((IF($A$7=Nutrients!$B$79,Nutrients!$EH$79,(IF($A$7=Nutrients!$B$77,Nutrients!$EH$77,Nutrients!$EH$78)))))*AF$7))/2000</f>
        <v>42.625345739364739</v>
      </c>
      <c r="AG306" s="57">
        <f>(SUMPRODUCT(AG$8:AG$217,Nutrients!$EH$8:$EH$217)+(IF($A$6=Nutrients!$B$8,Nutrients!$EH$8,Nutrients!$EH$9)*AG$6)+(((IF($A$7=Nutrients!$B$79,Nutrients!$EH$79,(IF($A$7=Nutrients!$B$77,Nutrients!$EH$77,Nutrients!$EH$78)))))*AG$7))/2000</f>
        <v>42.912377728423287</v>
      </c>
      <c r="AH306" s="57">
        <f>(SUMPRODUCT(AH$8:AH$217,Nutrients!$EH$8:$EH$217)+(IF($A$6=Nutrients!$B$8,Nutrients!$EH$8,Nutrients!$EH$9)*AH$6)+(((IF($A$7=Nutrients!$B$79,Nutrients!$EH$79,(IF($A$7=Nutrients!$B$77,Nutrients!$EH$77,Nutrients!$EH$78)))))*AH$7))/2000</f>
        <v>43.199409717481835</v>
      </c>
      <c r="AI306" s="57">
        <f>(SUMPRODUCT(AI$8:AI$217,Nutrients!$EH$8:$EH$217)+(IF($A$6=Nutrients!$B$8,Nutrients!$EH$8,Nutrients!$EH$9)*AI$6)+(((IF($A$7=Nutrients!$B$79,Nutrients!$EH$79,(IF($A$7=Nutrients!$B$77,Nutrients!$EH$77,Nutrients!$EH$78)))))*AI$7))/2000</f>
        <v>43.486441706540383</v>
      </c>
      <c r="AJ306" s="57">
        <f>(SUMPRODUCT(AJ$8:AJ$217,Nutrients!$EH$8:$EH$217)+(IF($A$6=Nutrients!$B$8,Nutrients!$EH$8,Nutrients!$EH$9)*AJ$6)+(((IF($A$7=Nutrients!$B$79,Nutrients!$EH$79,(IF($A$7=Nutrients!$B$77,Nutrients!$EH$77,Nutrients!$EH$78)))))*AJ$7))/2000</f>
        <v>43.673449199804033</v>
      </c>
      <c r="AK306" s="57"/>
      <c r="AL306" s="57"/>
    </row>
    <row r="307" spans="1:38" x14ac:dyDescent="0.15">
      <c r="A307" t="s">
        <v>53</v>
      </c>
      <c r="B307" s="58">
        <f t="shared" ref="B307:G307" si="223">(0.4472*B306)+51.796</f>
        <v>72.836176841633062</v>
      </c>
      <c r="C307" s="58">
        <f t="shared" si="223"/>
        <v>73.166952800205763</v>
      </c>
      <c r="D307" s="58">
        <f t="shared" si="223"/>
        <v>73.49063050584796</v>
      </c>
      <c r="E307" s="58">
        <f t="shared" si="223"/>
        <v>73.818364356021874</v>
      </c>
      <c r="F307" s="58">
        <f t="shared" si="223"/>
        <v>74.140013989398227</v>
      </c>
      <c r="G307" s="58">
        <f t="shared" si="223"/>
        <v>74.344742237034382</v>
      </c>
      <c r="H307" s="437"/>
      <c r="I307" s="58">
        <f t="shared" ref="I307:N307" si="224">(0.4472*I306)+51.796</f>
        <v>72.928469646806562</v>
      </c>
      <c r="J307" s="58">
        <f t="shared" si="224"/>
        <v>72.235027930159546</v>
      </c>
      <c r="K307" s="58">
        <f t="shared" si="224"/>
        <v>71.663577779917375</v>
      </c>
      <c r="L307" s="58">
        <f t="shared" si="224"/>
        <v>70.986746023218089</v>
      </c>
      <c r="M307" s="58">
        <f t="shared" si="224"/>
        <v>70.415295872975918</v>
      </c>
      <c r="N307" s="58">
        <f t="shared" si="224"/>
        <v>69.71982608406303</v>
      </c>
      <c r="O307" s="437"/>
      <c r="P307" s="58">
        <f t="shared" ref="P307:AE307" si="225">(0.4472*P306)+51.796</f>
        <v>72.839742739650205</v>
      </c>
      <c r="Q307" s="58">
        <f>(0.4472*Q306)+51.796</f>
        <v>72.342795740971013</v>
      </c>
      <c r="R307" s="58">
        <f>(0.4472*R306)+51.796</f>
        <v>71.952244384881851</v>
      </c>
      <c r="S307" s="58">
        <f>(0.4472*S306)+51.796</f>
        <v>71.455297386202659</v>
      </c>
      <c r="T307" s="58">
        <f>(0.4472*T306)+51.796</f>
        <v>70.95936442365641</v>
      </c>
      <c r="U307" s="58">
        <f>(0.4472*U306)+51.796</f>
        <v>70.557476095510737</v>
      </c>
      <c r="V307" s="437"/>
      <c r="W307" s="58">
        <f t="shared" si="225"/>
        <v>73.336689738329383</v>
      </c>
      <c r="X307" s="58">
        <f t="shared" ref="X307:AC307" si="226">(0.4472*X306)+51.796</f>
        <v>72.839742739650205</v>
      </c>
      <c r="Y307" s="58">
        <f t="shared" si="226"/>
        <v>72.342795740971013</v>
      </c>
      <c r="Z307" s="58">
        <f t="shared" si="226"/>
        <v>71.952244384881851</v>
      </c>
      <c r="AA307" s="58">
        <f t="shared" si="226"/>
        <v>71.455297386202659</v>
      </c>
      <c r="AB307" s="58">
        <f t="shared" si="226"/>
        <v>70.95936442365641</v>
      </c>
      <c r="AC307" s="58">
        <f t="shared" si="226"/>
        <v>70.557476095510737</v>
      </c>
      <c r="AD307" s="437"/>
      <c r="AE307" s="58">
        <f t="shared" si="225"/>
        <v>70.729693909136927</v>
      </c>
      <c r="AF307" s="58">
        <f t="shared" ref="AF307" si="227">(0.4472*AF306)+51.796</f>
        <v>70.858054614643919</v>
      </c>
      <c r="AG307" s="58">
        <f t="shared" ref="AG307" si="228">(0.4472*AG306)+51.796</f>
        <v>70.986415320150897</v>
      </c>
      <c r="AH307" s="58">
        <f t="shared" ref="AH307" si="229">(0.4472*AH306)+51.796</f>
        <v>71.114776025657875</v>
      </c>
      <c r="AI307" s="58">
        <f t="shared" ref="AI307" si="230">(0.4472*AI306)+51.796</f>
        <v>71.243136731164853</v>
      </c>
      <c r="AJ307" s="58">
        <f t="shared" ref="AJ307" si="231">(0.4472*AJ306)+51.796</f>
        <v>71.326766482152365</v>
      </c>
      <c r="AK307" s="58"/>
      <c r="AL307" s="58"/>
    </row>
    <row r="308" spans="1:38" x14ac:dyDescent="0.15">
      <c r="A308" t="s">
        <v>60</v>
      </c>
      <c r="B308" s="58">
        <f>(SUMPRODUCT(B$8:B$217,Nutrients!$BW$8:$BW$217)+(IF($A$6=Nutrients!$B$8,Nutrients!$BW$8,Nutrients!$BW$9)*B$6)+(((IF($A$7=Nutrients!$B$79,Nutrients!$BW$79,(IF($A$7=Nutrients!$B$77,Nutrients!$BW$77,Nutrients!$BW$78)))))*B$7))/2000</f>
        <v>0.23407221392994201</v>
      </c>
      <c r="C308" s="58">
        <f>(SUMPRODUCT(C$8:C$217,Nutrients!$BW$8:$BW$217)+(IF($A$6=Nutrients!$B$8,Nutrients!$BW$8,Nutrients!$BW$9)*C$6)+(((IF($A$7=Nutrients!$B$79,Nutrients!$BW$79,(IF($A$7=Nutrients!$B$77,Nutrients!$BW$77,Nutrients!$BW$78)))))*C$7))/2000</f>
        <v>0.23539606695517271</v>
      </c>
      <c r="D308" s="58">
        <f>(SUMPRODUCT(D$8:D$217,Nutrients!$BW$8:$BW$217)+(IF($A$6=Nutrients!$B$8,Nutrients!$BW$8,Nutrients!$BW$9)*D$6)+(((IF($A$7=Nutrients!$B$79,Nutrients!$BW$79,(IF($A$7=Nutrients!$B$77,Nutrients!$BW$77,Nutrients!$BW$78)))))*D$7))/2000</f>
        <v>0.23680250608312242</v>
      </c>
      <c r="E308" s="58">
        <f>(SUMPRODUCT(E$8:E$217,Nutrients!$BW$8:$BW$217)+(IF($A$6=Nutrients!$B$8,Nutrients!$BW$8,Nutrients!$BW$9)*E$6)+(((IF($A$7=Nutrients!$B$79,Nutrients!$BW$79,(IF($A$7=Nutrients!$B$77,Nutrients!$BW$77,Nutrients!$BW$78)))))*E$7))/2000</f>
        <v>0.23813203886666121</v>
      </c>
      <c r="F308" s="58">
        <f>(SUMPRODUCT(F$8:F$217,Nutrients!$BW$8:$BW$217)+(IF($A$6=Nutrients!$B$8,Nutrients!$BW$8,Nutrients!$BW$9)*F$6)+(((IF($A$7=Nutrients!$B$79,Nutrients!$BW$79,(IF($A$7=Nutrients!$B$77,Nutrients!$BW$77,Nutrients!$BW$78)))))*F$7))/2000</f>
        <v>0.23953693116681637</v>
      </c>
      <c r="G308" s="58">
        <f>(SUMPRODUCT(G$8:G$217,Nutrients!$BW$8:$BW$217)+(IF($A$6=Nutrients!$B$8,Nutrients!$BW$8,Nutrients!$BW$9)*G$6)+(((IF($A$7=Nutrients!$B$79,Nutrients!$BW$79,(IF($A$7=Nutrients!$B$77,Nutrients!$BW$77,Nutrients!$BW$78)))))*G$7))/2000</f>
        <v>0.24087497150322529</v>
      </c>
      <c r="H308" s="437"/>
      <c r="I308" s="58">
        <f>(SUMPRODUCT(I$8:I$217,Nutrients!$BW$8:$BW$217)+(IF($A$6=Nutrients!$B$8,Nutrients!$BW$8,Nutrients!$BW$9)*I$6)+(((IF($A$7=Nutrients!$B$79,Nutrients!$BW$79,(IF($A$7=Nutrients!$B$77,Nutrients!$BW$77,Nutrients!$BW$78)))))*I$7))/2000</f>
        <v>0.2291276116599984</v>
      </c>
      <c r="J308" s="58">
        <f>(SUMPRODUCT(J$8:J$217,Nutrients!$BW$8:$BW$217)+(IF($A$6=Nutrients!$B$8,Nutrients!$BW$8,Nutrients!$BW$9)*J$6)+(((IF($A$7=Nutrients!$B$79,Nutrients!$BW$79,(IF($A$7=Nutrients!$B$77,Nutrients!$BW$77,Nutrients!$BW$78)))))*J$7))/2000</f>
        <v>0.23082637890095531</v>
      </c>
      <c r="K308" s="58">
        <f>(SUMPRODUCT(K$8:K$217,Nutrients!$BW$8:$BW$217)+(IF($A$6=Nutrients!$B$8,Nutrients!$BW$8,Nutrients!$BW$9)*K$6)+(((IF($A$7=Nutrients!$B$79,Nutrients!$BW$79,(IF($A$7=Nutrients!$B$77,Nutrients!$BW$77,Nutrients!$BW$78)))))*K$7))/2000</f>
        <v>0.23252386517514492</v>
      </c>
      <c r="L308" s="58">
        <f>(SUMPRODUCT(L$8:L$217,Nutrients!$BW$8:$BW$217)+(IF($A$6=Nutrients!$B$8,Nutrients!$BW$8,Nutrients!$BW$9)*L$6)+(((IF($A$7=Nutrients!$B$79,Nutrients!$BW$79,(IF($A$7=Nutrients!$B$77,Nutrients!$BW$77,Nutrients!$BW$78)))))*L$7))/2000</f>
        <v>0.23413334557034376</v>
      </c>
      <c r="M308" s="58">
        <f>(SUMPRODUCT(M$8:M$217,Nutrients!$BW$8:$BW$217)+(IF($A$6=Nutrients!$B$8,Nutrients!$BW$8,Nutrients!$BW$9)*M$6)+(((IF($A$7=Nutrients!$B$79,Nutrients!$BW$79,(IF($A$7=Nutrients!$B$77,Nutrients!$BW$77,Nutrients!$BW$78)))))*M$7))/2000</f>
        <v>0.23583083184453338</v>
      </c>
      <c r="N308" s="58">
        <f>(SUMPRODUCT(N$8:N$217,Nutrients!$BW$8:$BW$217)+(IF($A$6=Nutrients!$B$8,Nutrients!$BW$8,Nutrients!$BW$9)*N$6)+(((IF($A$7=Nutrients!$B$79,Nutrients!$BW$79,(IF($A$7=Nutrients!$B$77,Nutrients!$BW$77,Nutrients!$BW$78)))))*N$7))/2000</f>
        <v>0.23753605225769578</v>
      </c>
      <c r="O308" s="437"/>
      <c r="P308" s="58">
        <f>(SUMPRODUCT(P$8:P$217,Nutrients!$BW$8:$BW$217)+(IF($A$6=Nutrients!$B$8,Nutrients!$BW$8,Nutrients!$BW$9)*P$6)+(((IF($A$7=Nutrients!$B$79,Nutrients!$BW$79,(IF($A$7=Nutrients!$B$77,Nutrients!$BW$77,Nutrients!$BW$78)))))*P$7))/2000</f>
        <v>0.22643268617620643</v>
      </c>
      <c r="Q308" s="58">
        <f>(SUMPRODUCT(Q$8:Q$217,Nutrients!$BW$8:$BW$217)+(IF($A$6=Nutrients!$B$8,Nutrients!$BW$8,Nutrients!$BW$9)*Q$6)+(((IF($A$7=Nutrients!$B$79,Nutrients!$BW$79,(IF($A$7=Nutrients!$B$77,Nutrients!$BW$77,Nutrients!$BW$78)))))*Q$7))/2000</f>
        <v>0.22771801120274351</v>
      </c>
      <c r="R308" s="58">
        <f>(SUMPRODUCT(R$8:R$217,Nutrients!$BW$8:$BW$217)+(IF($A$6=Nutrients!$B$8,Nutrients!$BW$8,Nutrients!$BW$9)*R$6)+(((IF($A$7=Nutrients!$B$79,Nutrients!$BW$79,(IF($A$7=Nutrients!$B$77,Nutrients!$BW$77,Nutrients!$BW$78)))))*R$7))/2000</f>
        <v>0.22909211552216868</v>
      </c>
      <c r="S308" s="58">
        <f>(SUMPRODUCT(S$8:S$217,Nutrients!$BW$8:$BW$217)+(IF($A$6=Nutrients!$B$8,Nutrients!$BW$8,Nutrients!$BW$9)*S$6)+(((IF($A$7=Nutrients!$B$79,Nutrients!$BW$79,(IF($A$7=Nutrients!$B$77,Nutrients!$BW$77,Nutrients!$BW$78)))))*S$7))/2000</f>
        <v>0.23037744054870582</v>
      </c>
      <c r="T308" s="58">
        <f>(SUMPRODUCT(T$8:T$217,Nutrients!$BW$8:$BW$217)+(IF($A$6=Nutrients!$B$8,Nutrients!$BW$8,Nutrients!$BW$9)*T$6)+(((IF($A$7=Nutrients!$B$79,Nutrients!$BW$79,(IF($A$7=Nutrients!$B$77,Nutrients!$BW$77,Nutrients!$BW$78)))))*T$7))/2000</f>
        <v>0.23166353898914019</v>
      </c>
      <c r="U308" s="58">
        <f>(SUMPRODUCT(U$8:U$217,Nutrients!$BW$8:$BW$217)+(IF($A$6=Nutrients!$B$8,Nutrients!$BW$8,Nutrients!$BW$9)*U$6)+(((IF($A$7=Nutrients!$B$79,Nutrients!$BW$79,(IF($A$7=Nutrients!$B$77,Nutrients!$BW$77,Nutrients!$BW$78)))))*U$7))/2000</f>
        <v>0.23309295190658935</v>
      </c>
      <c r="V308" s="437"/>
      <c r="W308" s="58">
        <f>(SUMPRODUCT(W$8:W$217,Nutrients!$BW$8:$BW$217)+(IF($A$6=Nutrients!$B$8,Nutrients!$BW$8,Nutrients!$BW$9)*W$6)+(((IF($A$7=Nutrients!$B$79,Nutrients!$BW$79,(IF($A$7=Nutrients!$B$77,Nutrients!$BW$77,Nutrients!$BW$78)))))*W$7))/2000</f>
        <v>0.2251473611496693</v>
      </c>
      <c r="X308" s="58">
        <f>(SUMPRODUCT(X$8:X$217,Nutrients!$BW$8:$BW$217)+(IF($A$6=Nutrients!$B$8,Nutrients!$BW$8,Nutrients!$BW$9)*X$6)+(((IF($A$7=Nutrients!$B$79,Nutrients!$BW$79,(IF($A$7=Nutrients!$B$77,Nutrients!$BW$77,Nutrients!$BW$78)))))*X$7))/2000</f>
        <v>0.22643268617620643</v>
      </c>
      <c r="Y308" s="58">
        <f>(SUMPRODUCT(Y$8:Y$217,Nutrients!$BW$8:$BW$217)+(IF($A$6=Nutrients!$B$8,Nutrients!$BW$8,Nutrients!$BW$9)*Y$6)+(((IF($A$7=Nutrients!$B$79,Nutrients!$BW$79,(IF($A$7=Nutrients!$B$77,Nutrients!$BW$77,Nutrients!$BW$78)))))*Y$7))/2000</f>
        <v>0.22771801120274351</v>
      </c>
      <c r="Z308" s="58">
        <f>(SUMPRODUCT(Z$8:Z$217,Nutrients!$BW$8:$BW$217)+(IF($A$6=Nutrients!$B$8,Nutrients!$BW$8,Nutrients!$BW$9)*Z$6)+(((IF($A$7=Nutrients!$B$79,Nutrients!$BW$79,(IF($A$7=Nutrients!$B$77,Nutrients!$BW$77,Nutrients!$BW$78)))))*Z$7))/2000</f>
        <v>0.22909211552216868</v>
      </c>
      <c r="AA308" s="58">
        <f>(SUMPRODUCT(AA$8:AA$217,Nutrients!$BW$8:$BW$217)+(IF($A$6=Nutrients!$B$8,Nutrients!$BW$8,Nutrients!$BW$9)*AA$6)+(((IF($A$7=Nutrients!$B$79,Nutrients!$BW$79,(IF($A$7=Nutrients!$B$77,Nutrients!$BW$77,Nutrients!$BW$78)))))*AA$7))/2000</f>
        <v>0.23037744054870582</v>
      </c>
      <c r="AB308" s="58">
        <f>(SUMPRODUCT(AB$8:AB$217,Nutrients!$BW$8:$BW$217)+(IF($A$6=Nutrients!$B$8,Nutrients!$BW$8,Nutrients!$BW$9)*AB$6)+(((IF($A$7=Nutrients!$B$79,Nutrients!$BW$79,(IF($A$7=Nutrients!$B$77,Nutrients!$BW$77,Nutrients!$BW$78)))))*AB$7))/2000</f>
        <v>0.23166353898914019</v>
      </c>
      <c r="AC308" s="58">
        <f>(SUMPRODUCT(AC$8:AC$217,Nutrients!$BW$8:$BW$217)+(IF($A$6=Nutrients!$B$8,Nutrients!$BW$8,Nutrients!$BW$9)*AC$6)+(((IF($A$7=Nutrients!$B$79,Nutrients!$BW$79,(IF($A$7=Nutrients!$B$77,Nutrients!$BW$77,Nutrients!$BW$78)))))*AC$7))/2000</f>
        <v>0.23309295190658935</v>
      </c>
      <c r="AD308" s="437"/>
      <c r="AE308" s="58">
        <f>(SUMPRODUCT(AE$8:AE$217,Nutrients!$BW$8:$BW$217)+(IF($A$6=Nutrients!$B$8,Nutrients!$BW$8,Nutrients!$BW$9)*AE$6)+(((IF($A$7=Nutrients!$B$79,Nutrients!$BW$79,(IF($A$7=Nutrients!$B$77,Nutrients!$BW$77,Nutrients!$BW$78)))))*AE$7))/2000</f>
        <v>0.22486249693802562</v>
      </c>
      <c r="AF308" s="58">
        <f>(SUMPRODUCT(AF$8:AF$217,Nutrients!$BW$8:$BW$217)+(IF($A$6=Nutrients!$B$8,Nutrients!$BW$8,Nutrients!$BW$9)*AF$6)+(((IF($A$7=Nutrients!$B$79,Nutrients!$BW$79,(IF($A$7=Nutrients!$B$77,Nutrients!$BW$77,Nutrients!$BW$78)))))*AF$7))/2000</f>
        <v>0.22536980635257611</v>
      </c>
      <c r="AG308" s="58">
        <f>(SUMPRODUCT(AG$8:AG$217,Nutrients!$BW$8:$BW$217)+(IF($A$6=Nutrients!$B$8,Nutrients!$BW$8,Nutrients!$BW$9)*AG$6)+(((IF($A$7=Nutrients!$B$79,Nutrients!$BW$79,(IF($A$7=Nutrients!$B$77,Nutrients!$BW$77,Nutrients!$BW$78)))))*AG$7))/2000</f>
        <v>0.22587711576712663</v>
      </c>
      <c r="AH308" s="58">
        <f>(SUMPRODUCT(AH$8:AH$217,Nutrients!$BW$8:$BW$217)+(IF($A$6=Nutrients!$B$8,Nutrients!$BW$8,Nutrients!$BW$9)*AH$6)+(((IF($A$7=Nutrients!$B$79,Nutrients!$BW$79,(IF($A$7=Nutrients!$B$77,Nutrients!$BW$77,Nutrients!$BW$78)))))*AH$7))/2000</f>
        <v>0.22638442518167715</v>
      </c>
      <c r="AI308" s="58">
        <f>(SUMPRODUCT(AI$8:AI$217,Nutrients!$BW$8:$BW$217)+(IF($A$6=Nutrients!$B$8,Nutrients!$BW$8,Nutrients!$BW$9)*AI$6)+(((IF($A$7=Nutrients!$B$79,Nutrients!$BW$79,(IF($A$7=Nutrients!$B$77,Nutrients!$BW$77,Nutrients!$BW$78)))))*AI$7))/2000</f>
        <v>0.22689173459622766</v>
      </c>
      <c r="AJ308" s="58">
        <f>(SUMPRODUCT(AJ$8:AJ$217,Nutrients!$BW$8:$BW$217)+(IF($A$6=Nutrients!$B$8,Nutrients!$BW$8,Nutrients!$BW$9)*AJ$6)+(((IF($A$7=Nutrients!$B$79,Nutrients!$BW$79,(IF($A$7=Nutrients!$B$77,Nutrients!$BW$77,Nutrients!$BW$78)))))*AJ$7))/2000</f>
        <v>0.22764400195966361</v>
      </c>
      <c r="AK308" s="58"/>
      <c r="AL308" s="58"/>
    </row>
    <row r="309" spans="1:38" x14ac:dyDescent="0.15">
      <c r="A309" t="s">
        <v>61</v>
      </c>
      <c r="B309" s="58">
        <f>(SUMPRODUCT(B$8:B$217,Nutrients!$BT$8:$BT$217)+(IF($A$6=Nutrients!$B$8,Nutrients!$BT$8,Nutrients!$BT$9)*B$6)+(((IF($A$7=Nutrients!$B$79,Nutrients!$BT$79,(IF($A$7=Nutrients!$B$77,Nutrients!$BT$77,Nutrients!$BT$78)))))*B$7))/2000</f>
        <v>0.39019341310116762</v>
      </c>
      <c r="C309" s="58">
        <f>(SUMPRODUCT(C$8:C$217,Nutrients!$BT$8:$BT$217)+(IF($A$6=Nutrients!$B$8,Nutrients!$BT$8,Nutrients!$BT$9)*C$6)+(((IF($A$7=Nutrients!$B$79,Nutrients!$BT$79,(IF($A$7=Nutrients!$B$77,Nutrients!$BT$77,Nutrients!$BT$78)))))*C$7))/2000</f>
        <v>0.3995464155507471</v>
      </c>
      <c r="D309" s="58">
        <f>(SUMPRODUCT(D$8:D$217,Nutrients!$BT$8:$BT$217)+(IF($A$6=Nutrients!$B$8,Nutrients!$BT$8,Nutrients!$BT$9)*D$6)+(((IF($A$7=Nutrients!$B$79,Nutrients!$BT$79,(IF($A$7=Nutrients!$B$77,Nutrients!$BT$77,Nutrients!$BT$78)))))*D$7))/2000</f>
        <v>0.40887889156528129</v>
      </c>
      <c r="E309" s="58">
        <f>(SUMPRODUCT(E$8:E$217,Nutrients!$BT$8:$BT$217)+(IF($A$6=Nutrients!$B$8,Nutrients!$BT$8,Nutrients!$BT$9)*E$6)+(((IF($A$7=Nutrients!$B$79,Nutrients!$BT$79,(IF($A$7=Nutrients!$B$77,Nutrients!$BT$77,Nutrients!$BT$78)))))*E$7))/2000</f>
        <v>0.41822638268555568</v>
      </c>
      <c r="F309" s="58">
        <f>(SUMPRODUCT(F$8:F$217,Nutrients!$BT$8:$BT$217)+(IF($A$6=Nutrients!$B$8,Nutrients!$BT$8,Nutrients!$BT$9)*F$6)+(((IF($A$7=Nutrients!$B$79,Nutrients!$BT$79,(IF($A$7=Nutrients!$B$77,Nutrients!$BT$77,Nutrients!$BT$78)))))*F$7))/2000</f>
        <v>0.42755385114721967</v>
      </c>
      <c r="G309" s="58">
        <f>(SUMPRODUCT(G$8:G$217,Nutrients!$BT$8:$BT$217)+(IF($A$6=Nutrients!$B$8,Nutrients!$BT$8,Nutrients!$BT$9)*G$6)+(((IF($A$7=Nutrients!$B$79,Nutrients!$BT$79,(IF($A$7=Nutrients!$B$77,Nutrients!$BT$77,Nutrients!$BT$78)))))*G$7))/2000</f>
        <v>0.43692888380827954</v>
      </c>
      <c r="H309" s="437"/>
      <c r="I309" s="58">
        <f>(SUMPRODUCT(I$8:I$217,Nutrients!$BT$8:$BT$217)+(IF($A$6=Nutrients!$B$8,Nutrients!$BT$8,Nutrients!$BT$9)*I$6)+(((IF($A$7=Nutrients!$B$79,Nutrients!$BT$79,(IF($A$7=Nutrients!$B$77,Nutrients!$BT$77,Nutrients!$BT$78)))))*I$7))/2000</f>
        <v>0.39517828980566666</v>
      </c>
      <c r="J309" s="58">
        <f>(SUMPRODUCT(J$8:J$217,Nutrients!$BT$8:$BT$217)+(IF($A$6=Nutrients!$B$8,Nutrients!$BT$8,Nutrients!$BT$9)*J$6)+(((IF($A$7=Nutrients!$B$79,Nutrients!$BT$79,(IF($A$7=Nutrients!$B$77,Nutrients!$BT$77,Nutrients!$BT$78)))))*J$7))/2000</f>
        <v>0.39713396368498405</v>
      </c>
      <c r="K309" s="58">
        <f>(SUMPRODUCT(K$8:K$217,Nutrients!$BT$8:$BT$217)+(IF($A$6=Nutrients!$B$8,Nutrients!$BT$8,Nutrients!$BT$9)*K$6)+(((IF($A$7=Nutrients!$B$79,Nutrients!$BT$79,(IF($A$7=Nutrients!$B$77,Nutrients!$BT$77,Nutrients!$BT$78)))))*K$7))/2000</f>
        <v>0.39906159224708093</v>
      </c>
      <c r="L309" s="58">
        <f>(SUMPRODUCT(L$8:L$217,Nutrients!$BT$8:$BT$217)+(IF($A$6=Nutrients!$B$8,Nutrients!$BT$8,Nutrients!$BT$9)*L$6)+(((IF($A$7=Nutrients!$B$79,Nutrients!$BT$79,(IF($A$7=Nutrients!$B$77,Nutrients!$BT$77,Nutrients!$BT$78)))))*L$7))/2000</f>
        <v>0.40197337090716101</v>
      </c>
      <c r="M309" s="58">
        <f>(SUMPRODUCT(M$8:M$217,Nutrients!$BT$8:$BT$217)+(IF($A$6=Nutrients!$B$8,Nutrients!$BT$8,Nutrients!$BT$9)*M$6)+(((IF($A$7=Nutrients!$B$79,Nutrients!$BT$79,(IF($A$7=Nutrients!$B$77,Nutrients!$BT$77,Nutrients!$BT$78)))))*M$7))/2000</f>
        <v>0.40390099946925784</v>
      </c>
      <c r="N309" s="58">
        <f>(SUMPRODUCT(N$8:N$217,Nutrients!$BT$8:$BT$217)+(IF($A$6=Nutrients!$B$8,Nutrients!$BT$8,Nutrients!$BT$9)*N$6)+(((IF($A$7=Nutrients!$B$79,Nutrients!$BT$79,(IF($A$7=Nutrients!$B$77,Nutrients!$BT$77,Nutrients!$BT$78)))))*N$7))/2000</f>
        <v>0.40585366579570509</v>
      </c>
      <c r="O309" s="437"/>
      <c r="P309" s="58">
        <f>(SUMPRODUCT(P$8:P$217,Nutrients!$BT$8:$BT$217)+(IF($A$6=Nutrients!$B$8,Nutrients!$BT$8,Nutrients!$BT$9)*P$6)+(((IF($A$7=Nutrients!$B$79,Nutrients!$BT$79,(IF($A$7=Nutrients!$B$77,Nutrients!$BT$77,Nutrients!$BT$78)))))*P$7))/2000</f>
        <v>0.37945446856372989</v>
      </c>
      <c r="Q309" s="58">
        <f>(SUMPRODUCT(Q$8:Q$217,Nutrients!$BT$8:$BT$217)+(IF($A$6=Nutrients!$B$8,Nutrients!$BT$8,Nutrients!$BT$9)*Q$6)+(((IF($A$7=Nutrients!$B$79,Nutrients!$BT$79,(IF($A$7=Nutrients!$B$77,Nutrients!$BT$77,Nutrients!$BT$78)))))*Q$7))/2000</f>
        <v>0.38328587647995432</v>
      </c>
      <c r="R309" s="58">
        <f>(SUMPRODUCT(R$8:R$217,Nutrients!$BT$8:$BT$217)+(IF($A$6=Nutrients!$B$8,Nutrients!$BT$8,Nutrients!$BT$9)*R$6)+(((IF($A$7=Nutrients!$B$79,Nutrients!$BT$79,(IF($A$7=Nutrients!$B$77,Nutrients!$BT$77,Nutrients!$BT$78)))))*R$7))/2000</f>
        <v>0.38613563807463053</v>
      </c>
      <c r="S309" s="58">
        <f>(SUMPRODUCT(S$8:S$217,Nutrients!$BT$8:$BT$217)+(IF($A$6=Nutrients!$B$8,Nutrients!$BT$8,Nutrients!$BT$9)*S$6)+(((IF($A$7=Nutrients!$B$79,Nutrients!$BT$79,(IF($A$7=Nutrients!$B$77,Nutrients!$BT$77,Nutrients!$BT$78)))))*S$7))/2000</f>
        <v>0.38996704599085491</v>
      </c>
      <c r="T309" s="58">
        <f>(SUMPRODUCT(T$8:T$217,Nutrients!$BT$8:$BT$217)+(IF($A$6=Nutrients!$B$8,Nutrients!$BT$8,Nutrients!$BT$9)*T$6)+(((IF($A$7=Nutrients!$B$79,Nutrients!$BT$79,(IF($A$7=Nutrients!$B$77,Nutrients!$BT$77,Nutrients!$BT$78)))))*T$7))/2000</f>
        <v>0.39380095768351431</v>
      </c>
      <c r="U309" s="58">
        <f>(SUMPRODUCT(U$8:U$217,Nutrients!$BT$8:$BT$217)+(IF($A$6=Nutrients!$B$8,Nutrients!$BT$8,Nutrients!$BT$9)*U$6)+(((IF($A$7=Nutrients!$B$79,Nutrients!$BT$79,(IF($A$7=Nutrients!$B$77,Nutrients!$BT$77,Nutrients!$BT$78)))))*U$7))/2000</f>
        <v>0.39571063413489016</v>
      </c>
      <c r="V309" s="437"/>
      <c r="W309" s="58">
        <f>(SUMPRODUCT(W$8:W$217,Nutrients!$BT$8:$BT$217)+(IF($A$6=Nutrients!$B$8,Nutrients!$BT$8,Nutrients!$BT$9)*W$6)+(((IF($A$7=Nutrients!$B$79,Nutrients!$BT$79,(IF($A$7=Nutrients!$B$77,Nutrients!$BT$77,Nutrients!$BT$78)))))*W$7))/2000</f>
        <v>0.37562306064750556</v>
      </c>
      <c r="X309" s="58">
        <f>(SUMPRODUCT(X$8:X$217,Nutrients!$BT$8:$BT$217)+(IF($A$6=Nutrients!$B$8,Nutrients!$BT$8,Nutrients!$BT$9)*X$6)+(((IF($A$7=Nutrients!$B$79,Nutrients!$BT$79,(IF($A$7=Nutrients!$B$77,Nutrients!$BT$77,Nutrients!$BT$78)))))*X$7))/2000</f>
        <v>0.37945446856372989</v>
      </c>
      <c r="Y309" s="58">
        <f>(SUMPRODUCT(Y$8:Y$217,Nutrients!$BT$8:$BT$217)+(IF($A$6=Nutrients!$B$8,Nutrients!$BT$8,Nutrients!$BT$9)*Y$6)+(((IF($A$7=Nutrients!$B$79,Nutrients!$BT$79,(IF($A$7=Nutrients!$B$77,Nutrients!$BT$77,Nutrients!$BT$78)))))*Y$7))/2000</f>
        <v>0.38328587647995432</v>
      </c>
      <c r="Z309" s="58">
        <f>(SUMPRODUCT(Z$8:Z$217,Nutrients!$BT$8:$BT$217)+(IF($A$6=Nutrients!$B$8,Nutrients!$BT$8,Nutrients!$BT$9)*Z$6)+(((IF($A$7=Nutrients!$B$79,Nutrients!$BT$79,(IF($A$7=Nutrients!$B$77,Nutrients!$BT$77,Nutrients!$BT$78)))))*Z$7))/2000</f>
        <v>0.38613563807463053</v>
      </c>
      <c r="AA309" s="58">
        <f>(SUMPRODUCT(AA$8:AA$217,Nutrients!$BT$8:$BT$217)+(IF($A$6=Nutrients!$B$8,Nutrients!$BT$8,Nutrients!$BT$9)*AA$6)+(((IF($A$7=Nutrients!$B$79,Nutrients!$BT$79,(IF($A$7=Nutrients!$B$77,Nutrients!$BT$77,Nutrients!$BT$78)))))*AA$7))/2000</f>
        <v>0.38996704599085491</v>
      </c>
      <c r="AB309" s="58">
        <f>(SUMPRODUCT(AB$8:AB$217,Nutrients!$BT$8:$BT$217)+(IF($A$6=Nutrients!$B$8,Nutrients!$BT$8,Nutrients!$BT$9)*AB$6)+(((IF($A$7=Nutrients!$B$79,Nutrients!$BT$79,(IF($A$7=Nutrients!$B$77,Nutrients!$BT$77,Nutrients!$BT$78)))))*AB$7))/2000</f>
        <v>0.39380095768351431</v>
      </c>
      <c r="AC309" s="58">
        <f>(SUMPRODUCT(AC$8:AC$217,Nutrients!$BT$8:$BT$217)+(IF($A$6=Nutrients!$B$8,Nutrients!$BT$8,Nutrients!$BT$9)*AC$6)+(((IF($A$7=Nutrients!$B$79,Nutrients!$BT$79,(IF($A$7=Nutrients!$B$77,Nutrients!$BT$77,Nutrients!$BT$78)))))*AC$7))/2000</f>
        <v>0.39571063413489016</v>
      </c>
      <c r="AD309" s="437"/>
      <c r="AE309" s="58">
        <f>(SUMPRODUCT(AE$8:AE$217,Nutrients!$BT$8:$BT$217)+(IF($A$6=Nutrients!$B$8,Nutrients!$BT$8,Nutrients!$BT$9)*AE$6)+(((IF($A$7=Nutrients!$B$79,Nutrients!$BT$79,(IF($A$7=Nutrients!$B$77,Nutrients!$BT$77,Nutrients!$BT$78)))))*AE$7))/2000</f>
        <v>0.34383312505103292</v>
      </c>
      <c r="AF309" s="58">
        <f>(SUMPRODUCT(AF$8:AF$217,Nutrients!$BT$8:$BT$217)+(IF($A$6=Nutrients!$B$8,Nutrients!$BT$8,Nutrients!$BT$9)*AF$6)+(((IF($A$7=Nutrients!$B$79,Nutrients!$BT$79,(IF($A$7=Nutrients!$B$77,Nutrients!$BT$77,Nutrients!$BT$78)))))*AF$7))/2000</f>
        <v>0.35518920656079039</v>
      </c>
      <c r="AG309" s="58">
        <f>(SUMPRODUCT(AG$8:AG$217,Nutrients!$BT$8:$BT$217)+(IF($A$6=Nutrients!$B$8,Nutrients!$BT$8,Nutrients!$BT$9)*AG$6)+(((IF($A$7=Nutrients!$B$79,Nutrients!$BT$79,(IF($A$7=Nutrients!$B$77,Nutrients!$BT$77,Nutrients!$BT$78)))))*AG$7))/2000</f>
        <v>0.36654528807054793</v>
      </c>
      <c r="AH309" s="58">
        <f>(SUMPRODUCT(AH$8:AH$217,Nutrients!$BT$8:$BT$217)+(IF($A$6=Nutrients!$B$8,Nutrients!$BT$8,Nutrients!$BT$9)*AH$6)+(((IF($A$7=Nutrients!$B$79,Nutrients!$BT$79,(IF($A$7=Nutrients!$B$77,Nutrients!$BT$77,Nutrients!$BT$78)))))*AH$7))/2000</f>
        <v>0.3779013695803054</v>
      </c>
      <c r="AI309" s="58">
        <f>(SUMPRODUCT(AI$8:AI$217,Nutrients!$BT$8:$BT$217)+(IF($A$6=Nutrients!$B$8,Nutrients!$BT$8,Nutrients!$BT$9)*AI$6)+(((IF($A$7=Nutrients!$B$79,Nutrients!$BT$79,(IF($A$7=Nutrients!$B$77,Nutrients!$BT$77,Nutrients!$BT$78)))))*AI$7))/2000</f>
        <v>0.38925745109006288</v>
      </c>
      <c r="AJ309" s="58">
        <f>(SUMPRODUCT(AJ$8:AJ$217,Nutrients!$BT$8:$BT$217)+(IF($A$6=Nutrients!$B$8,Nutrients!$BT$8,Nutrients!$BT$9)*AJ$6)+(((IF($A$7=Nutrients!$B$79,Nutrients!$BT$79,(IF($A$7=Nutrients!$B$77,Nutrients!$BT$77,Nutrients!$BT$78)))))*AJ$7))/2000</f>
        <v>0.40060944996733894</v>
      </c>
      <c r="AK309" s="58"/>
      <c r="AL309" s="58"/>
    </row>
    <row r="310" spans="1:38" x14ac:dyDescent="0.15">
      <c r="A310" t="s">
        <v>62</v>
      </c>
      <c r="B310" s="58">
        <f>(SUMPRODUCT(B$8:B$217,Nutrients!$BU$8:$BU$217)+(IF($A$6=Nutrients!$B$8,Nutrients!$BU$8,Nutrients!$BU$9)*B$6)+(((IF($A$7=Nutrients!$B$79,Nutrients!$BU$79,(IF($A$7=Nutrients!$B$77,Nutrients!$BU$77,Nutrients!$BU$78)))))*B$7))/2000</f>
        <v>0.79759884575814477</v>
      </c>
      <c r="C310" s="58">
        <f>(SUMPRODUCT(C$8:C$217,Nutrients!$BU$8:$BU$217)+(IF($A$6=Nutrients!$B$8,Nutrients!$BU$8,Nutrients!$BU$9)*C$6)+(((IF($A$7=Nutrients!$B$79,Nutrients!$BU$79,(IF($A$7=Nutrients!$B$77,Nutrients!$BU$77,Nutrients!$BU$78)))))*C$7))/2000</f>
        <v>0.8444181425655265</v>
      </c>
      <c r="D310" s="58">
        <f>(SUMPRODUCT(D$8:D$217,Nutrients!$BU$8:$BU$217)+(IF($A$6=Nutrients!$B$8,Nutrients!$BU$8,Nutrients!$BU$9)*D$6)+(((IF($A$7=Nutrients!$B$79,Nutrients!$BU$79,(IF($A$7=Nutrients!$B$77,Nutrients!$BU$77,Nutrients!$BU$78)))))*D$7))/2000</f>
        <v>0.89124419465991667</v>
      </c>
      <c r="E310" s="58">
        <f>(SUMPRODUCT(E$8:E$217,Nutrients!$BU$8:$BU$217)+(IF($A$6=Nutrients!$B$8,Nutrients!$BU$8,Nutrients!$BU$9)*E$6)+(((IF($A$7=Nutrients!$B$79,Nutrients!$BU$79,(IF($A$7=Nutrients!$B$77,Nutrients!$BU$77,Nutrients!$BU$78)))))*E$7))/2000</f>
        <v>0.93804524373315912</v>
      </c>
      <c r="F310" s="58">
        <f>(SUMPRODUCT(F$8:F$217,Nutrients!$BU$8:$BU$217)+(IF($A$6=Nutrients!$B$8,Nutrients!$BU$8,Nutrients!$BU$9)*F$6)+(((IF($A$7=Nutrients!$B$79,Nutrients!$BU$79,(IF($A$7=Nutrients!$B$77,Nutrients!$BU$77,Nutrients!$BU$78)))))*F$7))/2000</f>
        <v>0.98485379733812339</v>
      </c>
      <c r="G310" s="58">
        <f>(SUMPRODUCT(G$8:G$217,Nutrients!$BU$8:$BU$217)+(IF($A$6=Nutrients!$B$8,Nutrients!$BU$8,Nutrients!$BU$9)*G$6)+(((IF($A$7=Nutrients!$B$79,Nutrients!$BU$79,(IF($A$7=Nutrients!$B$77,Nutrients!$BU$77,Nutrients!$BU$78)))))*G$7))/2000</f>
        <v>1.031751088103209</v>
      </c>
      <c r="H310" s="437"/>
      <c r="I310" s="58">
        <f>(SUMPRODUCT(I$8:I$217,Nutrients!$BU$8:$BU$217)+(IF($A$6=Nutrients!$B$8,Nutrients!$BU$8,Nutrients!$BU$9)*I$6)+(((IF($A$7=Nutrients!$B$79,Nutrients!$BU$79,(IF($A$7=Nutrients!$B$77,Nutrients!$BU$77,Nutrients!$BU$78)))))*I$7))/2000</f>
        <v>0.62612357311994793</v>
      </c>
      <c r="J310" s="58">
        <f>(SUMPRODUCT(J$8:J$217,Nutrients!$BU$8:$BU$217)+(IF($A$6=Nutrients!$B$8,Nutrients!$BU$8,Nutrients!$BU$9)*J$6)+(((IF($A$7=Nutrients!$B$79,Nutrients!$BU$79,(IF($A$7=Nutrients!$B$77,Nutrients!$BU$77,Nutrients!$BU$78)))))*J$7))/2000</f>
        <v>0.68285292483057092</v>
      </c>
      <c r="K310" s="58">
        <f>(SUMPRODUCT(K$8:K$217,Nutrients!$BU$8:$BU$217)+(IF($A$6=Nutrients!$B$8,Nutrients!$BU$8,Nutrients!$BU$9)*K$6)+(((IF($A$7=Nutrients!$B$79,Nutrients!$BU$79,(IF($A$7=Nutrients!$B$77,Nutrients!$BU$77,Nutrients!$BU$78)))))*K$7))/2000</f>
        <v>0.73948528560463778</v>
      </c>
      <c r="L310" s="58">
        <f>(SUMPRODUCT(L$8:L$217,Nutrients!$BU$8:$BU$217)+(IF($A$6=Nutrients!$B$8,Nutrients!$BU$8,Nutrients!$BU$9)*L$6)+(((IF($A$7=Nutrients!$B$79,Nutrients!$BU$79,(IF($A$7=Nutrients!$B$77,Nutrients!$BU$77,Nutrients!$BU$78)))))*L$7))/2000</f>
        <v>0.79312545825100034</v>
      </c>
      <c r="M310" s="58">
        <f>(SUMPRODUCT(M$8:M$217,Nutrients!$BU$8:$BU$217)+(IF($A$6=Nutrients!$B$8,Nutrients!$BU$8,Nutrients!$BU$9)*M$6)+(((IF($A$7=Nutrients!$B$79,Nutrients!$BU$79,(IF($A$7=Nutrients!$B$77,Nutrients!$BU$77,Nutrients!$BU$78)))))*M$7))/2000</f>
        <v>0.84975781902506775</v>
      </c>
      <c r="N310" s="58">
        <f>(SUMPRODUCT(N$8:N$217,Nutrients!$BU$8:$BU$217)+(IF($A$6=Nutrients!$B$8,Nutrients!$BU$8,Nutrients!$BU$9)*N$6)+(((IF($A$7=Nutrients!$B$79,Nutrients!$BU$79,(IF($A$7=Nutrients!$B$77,Nutrients!$BU$77,Nutrients!$BU$78)))))*N$7))/2000</f>
        <v>0.90647767224626463</v>
      </c>
      <c r="O310" s="437"/>
      <c r="P310" s="58">
        <f>(SUMPRODUCT(P$8:P$217,Nutrients!$BU$8:$BU$217)+(IF($A$6=Nutrients!$B$8,Nutrients!$BU$8,Nutrients!$BU$9)*P$6)+(((IF($A$7=Nutrients!$B$79,Nutrients!$BU$79,(IF($A$7=Nutrients!$B$77,Nutrients!$BU$77,Nutrients!$BU$78)))))*P$7))/2000</f>
        <v>0.56217315763860543</v>
      </c>
      <c r="Q310" s="58">
        <f>(SUMPRODUCT(Q$8:Q$217,Nutrients!$BU$8:$BU$217)+(IF($A$6=Nutrients!$B$8,Nutrients!$BU$8,Nutrients!$BU$9)*Q$6)+(((IF($A$7=Nutrients!$B$79,Nutrients!$BU$79,(IF($A$7=Nutrients!$B$77,Nutrients!$BU$77,Nutrients!$BU$78)))))*Q$7))/2000</f>
        <v>0.60476675848779304</v>
      </c>
      <c r="R310" s="58">
        <f>(SUMPRODUCT(R$8:R$217,Nutrients!$BU$8:$BU$217)+(IF($A$6=Nutrients!$B$8,Nutrients!$BU$8,Nutrients!$BU$9)*R$6)+(((IF($A$7=Nutrients!$B$79,Nutrients!$BU$79,(IF($A$7=Nutrients!$B$77,Nutrients!$BU$77,Nutrients!$BU$78)))))*R$7))/2000</f>
        <v>0.65036129670939813</v>
      </c>
      <c r="S310" s="58">
        <f>(SUMPRODUCT(S$8:S$217,Nutrients!$BU$8:$BU$217)+(IF($A$6=Nutrients!$B$8,Nutrients!$BU$8,Nutrients!$BU$9)*S$6)+(((IF($A$7=Nutrients!$B$79,Nutrients!$BU$79,(IF($A$7=Nutrients!$B$77,Nutrients!$BU$77,Nutrients!$BU$78)))))*S$7))/2000</f>
        <v>0.69295489755858608</v>
      </c>
      <c r="T310" s="58">
        <f>(SUMPRODUCT(T$8:T$217,Nutrients!$BU$8:$BU$217)+(IF($A$6=Nutrients!$B$8,Nutrients!$BU$8,Nutrients!$BU$9)*T$6)+(((IF($A$7=Nutrients!$B$79,Nutrients!$BU$79,(IF($A$7=Nutrients!$B$77,Nutrients!$BU$77,Nutrients!$BU$78)))))*T$7))/2000</f>
        <v>0.73555724765248631</v>
      </c>
      <c r="U310" s="58">
        <f>(SUMPRODUCT(U$8:U$217,Nutrients!$BU$8:$BU$217)+(IF($A$6=Nutrients!$B$8,Nutrients!$BU$8,Nutrients!$BU$9)*U$6)+(((IF($A$7=Nutrients!$B$79,Nutrients!$BU$79,(IF($A$7=Nutrients!$B$77,Nutrients!$BU$77,Nutrients!$BU$78)))))*U$7))/2000</f>
        <v>0.78425846101085983</v>
      </c>
      <c r="V310" s="437"/>
      <c r="W310" s="58">
        <f>(SUMPRODUCT(W$8:W$217,Nutrients!$BU$8:$BU$217)+(IF($A$6=Nutrients!$B$8,Nutrients!$BU$8,Nutrients!$BU$9)*W$6)+(((IF($A$7=Nutrients!$B$79,Nutrients!$BU$79,(IF($A$7=Nutrients!$B$77,Nutrients!$BU$77,Nutrients!$BU$78)))))*W$7))/2000</f>
        <v>0.51957955678941792</v>
      </c>
      <c r="X310" s="58">
        <f>(SUMPRODUCT(X$8:X$217,Nutrients!$BU$8:$BU$217)+(IF($A$6=Nutrients!$B$8,Nutrients!$BU$8,Nutrients!$BU$9)*X$6)+(((IF($A$7=Nutrients!$B$79,Nutrients!$BU$79,(IF($A$7=Nutrients!$B$77,Nutrients!$BU$77,Nutrients!$BU$78)))))*X$7))/2000</f>
        <v>0.56217315763860543</v>
      </c>
      <c r="Y310" s="58">
        <f>(SUMPRODUCT(Y$8:Y$217,Nutrients!$BU$8:$BU$217)+(IF($A$6=Nutrients!$B$8,Nutrients!$BU$8,Nutrients!$BU$9)*Y$6)+(((IF($A$7=Nutrients!$B$79,Nutrients!$BU$79,(IF($A$7=Nutrients!$B$77,Nutrients!$BU$77,Nutrients!$BU$78)))))*Y$7))/2000</f>
        <v>0.60476675848779304</v>
      </c>
      <c r="Z310" s="58">
        <f>(SUMPRODUCT(Z$8:Z$217,Nutrients!$BU$8:$BU$217)+(IF($A$6=Nutrients!$B$8,Nutrients!$BU$8,Nutrients!$BU$9)*Z$6)+(((IF($A$7=Nutrients!$B$79,Nutrients!$BU$79,(IF($A$7=Nutrients!$B$77,Nutrients!$BU$77,Nutrients!$BU$78)))))*Z$7))/2000</f>
        <v>0.65036129670939813</v>
      </c>
      <c r="AA310" s="58">
        <f>(SUMPRODUCT(AA$8:AA$217,Nutrients!$BU$8:$BU$217)+(IF($A$6=Nutrients!$B$8,Nutrients!$BU$8,Nutrients!$BU$9)*AA$6)+(((IF($A$7=Nutrients!$B$79,Nutrients!$BU$79,(IF($A$7=Nutrients!$B$77,Nutrients!$BU$77,Nutrients!$BU$78)))))*AA$7))/2000</f>
        <v>0.69295489755858608</v>
      </c>
      <c r="AB310" s="58">
        <f>(SUMPRODUCT(AB$8:AB$217,Nutrients!$BU$8:$BU$217)+(IF($A$6=Nutrients!$B$8,Nutrients!$BU$8,Nutrients!$BU$9)*AB$6)+(((IF($A$7=Nutrients!$B$79,Nutrients!$BU$79,(IF($A$7=Nutrients!$B$77,Nutrients!$BU$77,Nutrients!$BU$78)))))*AB$7))/2000</f>
        <v>0.73555724765248631</v>
      </c>
      <c r="AC310" s="58">
        <f>(SUMPRODUCT(AC$8:AC$217,Nutrients!$BU$8:$BU$217)+(IF($A$6=Nutrients!$B$8,Nutrients!$BU$8,Nutrients!$BU$9)*AC$6)+(((IF($A$7=Nutrients!$B$79,Nutrients!$BU$79,(IF($A$7=Nutrients!$B$77,Nutrients!$BU$77,Nutrients!$BU$78)))))*AC$7))/2000</f>
        <v>0.78425846101085983</v>
      </c>
      <c r="AD310" s="437"/>
      <c r="AE310" s="58">
        <f>(SUMPRODUCT(AE$8:AE$217,Nutrients!$BU$8:$BU$217)+(IF($A$6=Nutrients!$B$8,Nutrients!$BU$8,Nutrients!$BU$9)*AE$6)+(((IF($A$7=Nutrients!$B$79,Nutrients!$BU$79,(IF($A$7=Nutrients!$B$77,Nutrients!$BU$77,Nutrients!$BU$78)))))*AE$7))/2000</f>
        <v>0.50927990201682038</v>
      </c>
      <c r="AF310" s="58">
        <f>(SUMPRODUCT(AF$8:AF$217,Nutrients!$BU$8:$BU$217)+(IF($A$6=Nutrients!$B$8,Nutrients!$BU$8,Nutrients!$BU$9)*AF$6)+(((IF($A$7=Nutrients!$B$79,Nutrients!$BU$79,(IF($A$7=Nutrients!$B$77,Nutrients!$BU$77,Nutrients!$BU$78)))))*AF$7))/2000</f>
        <v>0.52674260328243649</v>
      </c>
      <c r="AG310" s="58">
        <f>(SUMPRODUCT(AG$8:AG$217,Nutrients!$BU$8:$BU$217)+(IF($A$6=Nutrients!$B$8,Nutrients!$BU$8,Nutrients!$BU$9)*AG$6)+(((IF($A$7=Nutrients!$B$79,Nutrients!$BU$79,(IF($A$7=Nutrients!$B$77,Nutrients!$BU$77,Nutrients!$BU$78)))))*AG$7))/2000</f>
        <v>0.54420530454805272</v>
      </c>
      <c r="AH310" s="58">
        <f>(SUMPRODUCT(AH$8:AH$217,Nutrients!$BU$8:$BU$217)+(IF($A$6=Nutrients!$B$8,Nutrients!$BU$8,Nutrients!$BU$9)*AH$6)+(((IF($A$7=Nutrients!$B$79,Nutrients!$BU$79,(IF($A$7=Nutrients!$B$77,Nutrients!$BU$77,Nutrients!$BU$78)))))*AH$7))/2000</f>
        <v>0.56166800581366827</v>
      </c>
      <c r="AI310" s="58">
        <f>(SUMPRODUCT(AI$8:AI$217,Nutrients!$BU$8:$BU$217)+(IF($A$6=Nutrients!$B$8,Nutrients!$BU$8,Nutrients!$BU$9)*AI$6)+(((IF($A$7=Nutrients!$B$79,Nutrients!$BU$79,(IF($A$7=Nutrients!$B$77,Nutrients!$BU$77,Nutrients!$BU$78)))))*AI$7))/2000</f>
        <v>0.57913070707928505</v>
      </c>
      <c r="AJ310" s="58">
        <f>(SUMPRODUCT(AJ$8:AJ$217,Nutrients!$BU$8:$BU$217)+(IF($A$6=Nutrients!$B$8,Nutrients!$BU$8,Nutrients!$BU$9)*AJ$6)+(((IF($A$7=Nutrients!$B$79,Nutrients!$BU$79,(IF($A$7=Nutrients!$B$77,Nutrients!$BU$77,Nutrients!$BU$78)))))*AJ$7))/2000</f>
        <v>0.60443206270923522</v>
      </c>
      <c r="AK310" s="58"/>
      <c r="AL310" s="58"/>
    </row>
    <row r="311" spans="1:38" x14ac:dyDescent="0.15">
      <c r="A311" t="s">
        <v>37</v>
      </c>
      <c r="B311" s="11">
        <f t="shared" ref="B311:G311" si="232">(B308 * 434.98) + (B310* 255.74) - (B309*282.06)</f>
        <v>195.73670633011881</v>
      </c>
      <c r="C311" s="11">
        <f t="shared" si="232"/>
        <v>205.64801501362504</v>
      </c>
      <c r="D311" s="11">
        <f t="shared" si="232"/>
        <v>215.60276428346049</v>
      </c>
      <c r="E311" s="11">
        <f t="shared" si="232"/>
        <v>225.51343139825059</v>
      </c>
      <c r="F311" s="11">
        <f t="shared" si="232"/>
        <v>235.4644451956087</v>
      </c>
      <c r="G311" s="11">
        <f t="shared" si="232"/>
        <v>245.3956574090243</v>
      </c>
      <c r="H311" s="445"/>
      <c r="I311" s="11">
        <f t="shared" ref="I311:N311" si="233">(I308 * 434.98) + (I310* 255.74) - (I309*282.06)</f>
        <v>148.32678268697526</v>
      </c>
      <c r="J311" s="11">
        <f t="shared" si="233"/>
        <v>163.02205949352117</v>
      </c>
      <c r="K311" s="11">
        <f t="shared" si="233"/>
        <v>177.69988510520295</v>
      </c>
      <c r="L311" s="11">
        <f t="shared" si="233"/>
        <v>191.29661835122511</v>
      </c>
      <c r="M311" s="11">
        <f t="shared" si="233"/>
        <v>205.97444396290709</v>
      </c>
      <c r="N311" s="11">
        <f t="shared" si="233"/>
        <v>220.67094693697561</v>
      </c>
      <c r="O311" s="445"/>
      <c r="P311" s="11">
        <f t="shared" ref="P311:AE311" si="234">(P308 * 434.98) + (P310* 255.74) - (P309*282.06)</f>
        <v>135.23492576433759</v>
      </c>
      <c r="Q311" s="11">
        <f>(Q308 * 434.98) + (Q310* 255.74) - (Q309*282.06)</f>
        <v>145.60621700870166</v>
      </c>
      <c r="R311" s="11">
        <f>(R308 * 434.98) + (R310* 255.74) - (R309*282.06)</f>
        <v>157.06046835496414</v>
      </c>
      <c r="S311" s="11">
        <f>(S308 * 434.98) + (S310* 255.74) - (S309*282.06)</f>
        <v>167.4317595993283</v>
      </c>
      <c r="T311" s="11">
        <f>(T308 * 434.98) + (T310* 255.74) - (T309*282.06)</f>
        <v>177.80491857993098</v>
      </c>
      <c r="U311" s="11">
        <f>(U308 * 434.98) + (U310* 255.74) - (U309*282.06)</f>
        <v>190.34288957515838</v>
      </c>
      <c r="V311" s="445"/>
      <c r="W311" s="11">
        <f t="shared" si="234"/>
        <v>124.86363451997349</v>
      </c>
      <c r="X311" s="11">
        <f t="shared" ref="X311:AC311" si="235">(X308 * 434.98) + (X310* 255.74) - (X309*282.06)</f>
        <v>135.23492576433759</v>
      </c>
      <c r="Y311" s="11">
        <f t="shared" si="235"/>
        <v>145.60621700870166</v>
      </c>
      <c r="Z311" s="11">
        <f t="shared" si="235"/>
        <v>157.06046835496414</v>
      </c>
      <c r="AA311" s="11">
        <f t="shared" si="235"/>
        <v>167.4317595993283</v>
      </c>
      <c r="AB311" s="11">
        <f t="shared" si="235"/>
        <v>177.80491857993098</v>
      </c>
      <c r="AC311" s="11">
        <f t="shared" si="235"/>
        <v>190.34288957515838</v>
      </c>
      <c r="AD311" s="445"/>
      <c r="AE311" s="11">
        <f t="shared" si="234"/>
        <v>131.0723598079897</v>
      </c>
      <c r="AF311" s="11">
        <f t="shared" ref="AF311" si="236">(AF308 * 434.98) + (AF310* 255.74) - (AF309*282.06)</f>
        <v>132.55584412815733</v>
      </c>
      <c r="AG311" s="11">
        <f t="shared" ref="AG311" si="237">(AG308 * 434.98) + (AG310* 255.74) - (AG309*282.06)</f>
        <v>134.03932844832497</v>
      </c>
      <c r="AH311" s="11">
        <f t="shared" ref="AH311" si="238">(AH308 * 434.98) + (AH310* 255.74) - (AH309*282.06)</f>
        <v>135.52281276849254</v>
      </c>
      <c r="AI311" s="11">
        <f t="shared" ref="AI311" si="239">(AI308 * 434.98) + (AI310* 255.74) - (AI309*282.06)</f>
        <v>137.00629708866032</v>
      </c>
      <c r="AJ311" s="11">
        <f t="shared" ref="AJ311" si="240">(AJ308 * 434.98) + (AJ310* 255.74) - (AJ309*282.06)</f>
        <v>140.60214223188666</v>
      </c>
      <c r="AK311" s="58"/>
      <c r="AL311" s="58"/>
    </row>
    <row r="312" spans="1:38" x14ac:dyDescent="0.15">
      <c r="A312" t="s">
        <v>66</v>
      </c>
      <c r="B312" s="58">
        <f>(SUMPRODUCT(B$8:B$217,Nutrients!$EG$8:$EG$217)+(IF($A$6=Nutrients!$B$8,Nutrients!$EG$8,Nutrients!$EG$9)*B$6)+(((IF($A$7=Nutrients!$B$79,Nutrients!$EG$79,(IF($A$7=Nutrients!$B$77,Nutrients!$EG$77,Nutrients!$EG$78)))))*B$7))/2000</f>
        <v>0.25219483167306278</v>
      </c>
      <c r="C312" s="58">
        <f>(SUMPRODUCT(C$8:C$217,Nutrients!$EG$8:$EG$217)+(IF($A$6=Nutrients!$B$8,Nutrients!$EG$8,Nutrients!$EG$9)*C$6)+(((IF($A$7=Nutrients!$B$79,Nutrients!$EG$79,(IF($A$7=Nutrients!$B$77,Nutrients!$EG$77,Nutrients!$EG$78)))))*C$7))/2000</f>
        <v>0.25854814579080593</v>
      </c>
      <c r="D312" s="58">
        <f>(SUMPRODUCT(D$8:D$217,Nutrients!$EG$8:$EG$217)+(IF($A$6=Nutrients!$B$8,Nutrients!$EG$8,Nutrients!$EG$9)*D$6)+(((IF($A$7=Nutrients!$B$79,Nutrients!$EG$79,(IF($A$7=Nutrients!$B$77,Nutrients!$EG$77,Nutrients!$EG$78)))))*D$7))/2000</f>
        <v>0.26484236172123782</v>
      </c>
      <c r="E312" s="58">
        <f>(SUMPRODUCT(E$8:E$217,Nutrients!$EG$8:$EG$217)+(IF($A$6=Nutrients!$B$8,Nutrients!$EG$8,Nutrients!$EG$9)*E$6)+(((IF($A$7=Nutrients!$B$79,Nutrients!$EG$79,(IF($A$7=Nutrients!$B$77,Nutrients!$EG$77,Nutrients!$EG$78)))))*E$7))/2000</f>
        <v>0.27117034804441903</v>
      </c>
      <c r="F312" s="58">
        <f>(SUMPRODUCT(F$8:F$217,Nutrients!$EG$8:$EG$217)+(IF($A$6=Nutrients!$B$8,Nutrients!$EG$8,Nutrients!$EG$9)*F$6)+(((IF($A$7=Nutrients!$B$79,Nutrients!$EG$79,(IF($A$7=Nutrients!$B$77,Nutrients!$EG$77,Nutrients!$EG$78)))))*F$7))/2000</f>
        <v>0.27744767877847631</v>
      </c>
      <c r="G312" s="58">
        <f>(SUMPRODUCT(G$8:G$217,Nutrients!$EG$8:$EG$217)+(IF($A$6=Nutrients!$B$8,Nutrients!$EG$8,Nutrients!$EG$9)*G$6)+(((IF($A$7=Nutrients!$B$79,Nutrients!$EG$79,(IF($A$7=Nutrients!$B$77,Nutrients!$EG$77,Nutrients!$EG$78)))))*G$7))/2000</f>
        <v>0.28386853368171794</v>
      </c>
      <c r="H312" s="437"/>
      <c r="I312" s="58">
        <f>(SUMPRODUCT(I$8:I$217,Nutrients!$EG$8:$EG$217)+(IF($A$6=Nutrients!$B$8,Nutrients!$EG$8,Nutrients!$EG$9)*I$6)+(((IF($A$7=Nutrients!$B$79,Nutrients!$EG$79,(IF($A$7=Nutrients!$B$77,Nutrients!$EG$77,Nutrients!$EG$78)))))*I$7))/2000</f>
        <v>0.22748535441332574</v>
      </c>
      <c r="J312" s="58">
        <f>(SUMPRODUCT(J$8:J$217,Nutrients!$EG$8:$EG$217)+(IF($A$6=Nutrients!$B$8,Nutrients!$EG$8,Nutrients!$EG$9)*J$6)+(((IF($A$7=Nutrients!$B$79,Nutrients!$EG$79,(IF($A$7=Nutrients!$B$77,Nutrients!$EG$77,Nutrients!$EG$78)))))*J$7))/2000</f>
        <v>0.23599306820445826</v>
      </c>
      <c r="K312" s="58">
        <f>(SUMPRODUCT(K$8:K$217,Nutrients!$EG$8:$EG$217)+(IF($A$6=Nutrients!$B$8,Nutrients!$EG$8,Nutrients!$EG$9)*K$6)+(((IF($A$7=Nutrients!$B$79,Nutrients!$EG$79,(IF($A$7=Nutrients!$B$77,Nutrients!$EG$77,Nutrients!$EG$78)))))*K$7))/2000</f>
        <v>0.24439947081734301</v>
      </c>
      <c r="L312" s="58">
        <f>(SUMPRODUCT(L$8:L$217,Nutrients!$EG$8:$EG$217)+(IF($A$6=Nutrients!$B$8,Nutrients!$EG$8,Nutrients!$EG$9)*L$6)+(((IF($A$7=Nutrients!$B$79,Nutrients!$EG$79,(IF($A$7=Nutrients!$B$77,Nutrients!$EG$77,Nutrients!$EG$78)))))*L$7))/2000</f>
        <v>0.25244834599493754</v>
      </c>
      <c r="M312" s="58">
        <f>(SUMPRODUCT(M$8:M$217,Nutrients!$EG$8:$EG$217)+(IF($A$6=Nutrients!$B$8,Nutrients!$EG$8,Nutrients!$EG$9)*M$6)+(((IF($A$7=Nutrients!$B$79,Nutrients!$EG$79,(IF($A$7=Nutrients!$B$77,Nutrients!$EG$77,Nutrients!$EG$78)))))*M$7))/2000</f>
        <v>0.26085474860782237</v>
      </c>
      <c r="N312" s="58">
        <f>(SUMPRODUCT(N$8:N$217,Nutrients!$EG$8:$EG$217)+(IF($A$6=Nutrients!$B$8,Nutrients!$EG$8,Nutrients!$EG$9)*N$6)+(((IF($A$7=Nutrients!$B$79,Nutrients!$EG$79,(IF($A$7=Nutrients!$B$77,Nutrients!$EG$77,Nutrients!$EG$78)))))*N$7))/2000</f>
        <v>0.26934557720258023</v>
      </c>
      <c r="O312" s="437"/>
      <c r="P312" s="58">
        <f>(SUMPRODUCT(P$8:P$217,Nutrients!$EG$8:$EG$217)+(IF($A$6=Nutrients!$B$8,Nutrients!$EG$8,Nutrients!$EG$9)*P$6)+(((IF($A$7=Nutrients!$B$79,Nutrients!$EG$79,(IF($A$7=Nutrients!$B$77,Nutrients!$EG$77,Nutrients!$EG$78)))))*P$7))/2000</f>
        <v>0.21974940215562996</v>
      </c>
      <c r="Q312" s="58">
        <f>(SUMPRODUCT(Q$8:Q$217,Nutrients!$EG$8:$EG$217)+(IF($A$6=Nutrients!$B$8,Nutrients!$EG$8,Nutrients!$EG$9)*Q$6)+(((IF($A$7=Nutrients!$B$79,Nutrients!$EG$79,(IF($A$7=Nutrients!$B$77,Nutrients!$EG$77,Nutrients!$EG$78)))))*Q$7))/2000</f>
        <v>0.22606628561280315</v>
      </c>
      <c r="R312" s="58">
        <f>(SUMPRODUCT(R$8:R$217,Nutrients!$EG$8:$EG$217)+(IF($A$6=Nutrients!$B$8,Nutrients!$EG$8,Nutrients!$EG$9)*R$6)+(((IF($A$7=Nutrients!$B$79,Nutrients!$EG$79,(IF($A$7=Nutrients!$B$77,Nutrients!$EG$77,Nutrients!$EG$78)))))*R$7))/2000</f>
        <v>0.23274913910345391</v>
      </c>
      <c r="S312" s="58">
        <f>(SUMPRODUCT(S$8:S$217,Nutrients!$EG$8:$EG$217)+(IF($A$6=Nutrients!$B$8,Nutrients!$EG$8,Nutrients!$EG$9)*S$6)+(((IF($A$7=Nutrients!$B$79,Nutrients!$EG$79,(IF($A$7=Nutrients!$B$77,Nutrients!$EG$77,Nutrients!$EG$78)))))*S$7))/2000</f>
        <v>0.23906602256062709</v>
      </c>
      <c r="T312" s="58">
        <f>(SUMPRODUCT(T$8:T$217,Nutrients!$EG$8:$EG$217)+(IF($A$6=Nutrients!$B$8,Nutrients!$EG$8,Nutrients!$EG$9)*T$6)+(((IF($A$7=Nutrients!$B$79,Nutrients!$EG$79,(IF($A$7=Nutrients!$B$77,Nutrients!$EG$77,Nutrients!$EG$78)))))*T$7))/2000</f>
        <v>0.24539134861598758</v>
      </c>
      <c r="U312" s="58">
        <f>(SUMPRODUCT(U$8:U$217,Nutrients!$EG$8:$EG$217)+(IF($A$6=Nutrients!$B$8,Nutrients!$EG$8,Nutrients!$EG$9)*U$6)+(((IF($A$7=Nutrients!$B$79,Nutrients!$EG$79,(IF($A$7=Nutrients!$B$77,Nutrients!$EG$77,Nutrients!$EG$78)))))*U$7))/2000</f>
        <v>0.25257694223075039</v>
      </c>
      <c r="V312" s="437"/>
      <c r="W312" s="58">
        <f>(SUMPRODUCT(W$8:W$217,Nutrients!$EG$8:$EG$217)+(IF($A$6=Nutrients!$B$8,Nutrients!$EG$8,Nutrients!$EG$9)*W$6)+(((IF($A$7=Nutrients!$B$79,Nutrients!$EG$79,(IF($A$7=Nutrients!$B$77,Nutrients!$EG$77,Nutrients!$EG$78)))))*W$7))/2000</f>
        <v>0.21343251869845675</v>
      </c>
      <c r="X312" s="58">
        <f>(SUMPRODUCT(X$8:X$217,Nutrients!$EG$8:$EG$217)+(IF($A$6=Nutrients!$B$8,Nutrients!$EG$8,Nutrients!$EG$9)*X$6)+(((IF($A$7=Nutrients!$B$79,Nutrients!$EG$79,(IF($A$7=Nutrients!$B$77,Nutrients!$EG$77,Nutrients!$EG$78)))))*X$7))/2000</f>
        <v>0.21974940215562996</v>
      </c>
      <c r="Y312" s="58">
        <f>(SUMPRODUCT(Y$8:Y$217,Nutrients!$EG$8:$EG$217)+(IF($A$6=Nutrients!$B$8,Nutrients!$EG$8,Nutrients!$EG$9)*Y$6)+(((IF($A$7=Nutrients!$B$79,Nutrients!$EG$79,(IF($A$7=Nutrients!$B$77,Nutrients!$EG$77,Nutrients!$EG$78)))))*Y$7))/2000</f>
        <v>0.22606628561280315</v>
      </c>
      <c r="Z312" s="58">
        <f>(SUMPRODUCT(Z$8:Z$217,Nutrients!$EG$8:$EG$217)+(IF($A$6=Nutrients!$B$8,Nutrients!$EG$8,Nutrients!$EG$9)*Z$6)+(((IF($A$7=Nutrients!$B$79,Nutrients!$EG$79,(IF($A$7=Nutrients!$B$77,Nutrients!$EG$77,Nutrients!$EG$78)))))*Z$7))/2000</f>
        <v>0.23274913910345391</v>
      </c>
      <c r="AA312" s="58">
        <f>(SUMPRODUCT(AA$8:AA$217,Nutrients!$EG$8:$EG$217)+(IF($A$6=Nutrients!$B$8,Nutrients!$EG$8,Nutrients!$EG$9)*AA$6)+(((IF($A$7=Nutrients!$B$79,Nutrients!$EG$79,(IF($A$7=Nutrients!$B$77,Nutrients!$EG$77,Nutrients!$EG$78)))))*AA$7))/2000</f>
        <v>0.23906602256062709</v>
      </c>
      <c r="AB312" s="58">
        <f>(SUMPRODUCT(AB$8:AB$217,Nutrients!$EG$8:$EG$217)+(IF($A$6=Nutrients!$B$8,Nutrients!$EG$8,Nutrients!$EG$9)*AB$6)+(((IF($A$7=Nutrients!$B$79,Nutrients!$EG$79,(IF($A$7=Nutrients!$B$77,Nutrients!$EG$77,Nutrients!$EG$78)))))*AB$7))/2000</f>
        <v>0.24539134861598758</v>
      </c>
      <c r="AC312" s="58">
        <f>(SUMPRODUCT(AC$8:AC$217,Nutrients!$EG$8:$EG$217)+(IF($A$6=Nutrients!$B$8,Nutrients!$EG$8,Nutrients!$EG$9)*AC$6)+(((IF($A$7=Nutrients!$B$79,Nutrients!$EG$79,(IF($A$7=Nutrients!$B$77,Nutrients!$EG$77,Nutrients!$EG$78)))))*AC$7))/2000</f>
        <v>0.25257694223075039</v>
      </c>
      <c r="AD312" s="437"/>
      <c r="AE312" s="58">
        <f>(SUMPRODUCT(AE$8:AE$217,Nutrients!$EG$8:$EG$217)+(IF($A$6=Nutrients!$B$8,Nutrients!$EG$8,Nutrients!$EG$9)*AE$6)+(((IF($A$7=Nutrients!$B$79,Nutrients!$EG$79,(IF($A$7=Nutrients!$B$77,Nutrients!$EG$77,Nutrients!$EG$78)))))*AE$7))/2000</f>
        <v>0.2138699857107863</v>
      </c>
      <c r="AF312" s="58">
        <f>(SUMPRODUCT(AF$8:AF$217,Nutrients!$EG$8:$EG$217)+(IF($A$6=Nutrients!$B$8,Nutrients!$EG$8,Nutrients!$EG$9)*AF$6)+(((IF($A$7=Nutrients!$B$79,Nutrients!$EG$79,(IF($A$7=Nutrients!$B$77,Nutrients!$EG$77,Nutrients!$EG$78)))))*AF$7))/2000</f>
        <v>0.21614806297868863</v>
      </c>
      <c r="AG312" s="58">
        <f>(SUMPRODUCT(AG$8:AG$217,Nutrients!$EG$8:$EG$217)+(IF($A$6=Nutrients!$B$8,Nutrients!$EG$8,Nutrients!$EG$9)*AG$6)+(((IF($A$7=Nutrients!$B$79,Nutrients!$EG$79,(IF($A$7=Nutrients!$B$77,Nutrients!$EG$77,Nutrients!$EG$78)))))*AG$7))/2000</f>
        <v>0.21842614024659102</v>
      </c>
      <c r="AH312" s="58">
        <f>(SUMPRODUCT(AH$8:AH$217,Nutrients!$EG$8:$EG$217)+(IF($A$6=Nutrients!$B$8,Nutrients!$EG$8,Nutrients!$EG$9)*AH$6)+(((IF($A$7=Nutrients!$B$79,Nutrients!$EG$79,(IF($A$7=Nutrients!$B$77,Nutrients!$EG$77,Nutrients!$EG$78)))))*AH$7))/2000</f>
        <v>0.22070421751449329</v>
      </c>
      <c r="AI312" s="58">
        <f>(SUMPRODUCT(AI$8:AI$217,Nutrients!$EG$8:$EG$217)+(IF($A$6=Nutrients!$B$8,Nutrients!$EG$8,Nutrients!$EG$9)*AI$6)+(((IF($A$7=Nutrients!$B$79,Nutrients!$EG$79,(IF($A$7=Nutrients!$B$77,Nutrients!$EG$77,Nutrients!$EG$78)))))*AI$7))/2000</f>
        <v>0.2229822947823957</v>
      </c>
      <c r="AJ312" s="58">
        <f>(SUMPRODUCT(AJ$8:AJ$217,Nutrients!$EG$8:$EG$217)+(IF($A$6=Nutrients!$B$8,Nutrients!$EG$8,Nutrients!$EG$9)*AJ$6)+(((IF($A$7=Nutrients!$B$79,Nutrients!$EG$79,(IF($A$7=Nutrients!$B$77,Nutrients!$EG$77,Nutrients!$EG$78)))))*AJ$7))/2000</f>
        <v>0.22640350914509677</v>
      </c>
      <c r="AK312" s="58"/>
      <c r="AL312" s="58"/>
    </row>
    <row r="313" spans="1:38" x14ac:dyDescent="0.15">
      <c r="A313" t="s">
        <v>67</v>
      </c>
      <c r="B313" s="58">
        <f t="shared" ref="B313:G313" si="241">B257-B258</f>
        <v>0.29535249701273769</v>
      </c>
      <c r="C313" s="58">
        <f t="shared" si="241"/>
        <v>0.30266696555360489</v>
      </c>
      <c r="D313" s="58">
        <f t="shared" si="241"/>
        <v>0.30990871525761415</v>
      </c>
      <c r="E313" s="58">
        <f t="shared" si="241"/>
        <v>0.31719530429697079</v>
      </c>
      <c r="F313" s="58">
        <f t="shared" si="241"/>
        <v>0.3244171343333061</v>
      </c>
      <c r="G313" s="58">
        <f t="shared" si="241"/>
        <v>0.33181328154486811</v>
      </c>
      <c r="H313" s="437"/>
      <c r="I313" s="58">
        <f t="shared" ref="I313:N313" si="242">I257-I258</f>
        <v>0.26684997378909125</v>
      </c>
      <c r="J313" s="58">
        <f t="shared" si="242"/>
        <v>0.27667105938164444</v>
      </c>
      <c r="K313" s="58">
        <f t="shared" si="242"/>
        <v>0.28637462696815541</v>
      </c>
      <c r="L313" s="58">
        <f t="shared" si="242"/>
        <v>0.29566802789630109</v>
      </c>
      <c r="M313" s="58">
        <f t="shared" si="242"/>
        <v>0.30537159548281223</v>
      </c>
      <c r="N313" s="58">
        <f t="shared" si="242"/>
        <v>0.31517476140769163</v>
      </c>
      <c r="O313" s="437"/>
      <c r="P313" s="58">
        <f t="shared" ref="P313:AE313" si="243">P257-P258</f>
        <v>0.25792547105887154</v>
      </c>
      <c r="Q313" s="58">
        <f>Q257-Q258</f>
        <v>0.26521670732677394</v>
      </c>
      <c r="R313" s="58">
        <f>R257-R258</f>
        <v>0.27292807008687836</v>
      </c>
      <c r="S313" s="58">
        <f>S257-S258</f>
        <v>0.28021930635478076</v>
      </c>
      <c r="T313" s="58">
        <f>T257-T258</f>
        <v>0.28752050245651994</v>
      </c>
      <c r="U313" s="58">
        <f>U257-U258</f>
        <v>0.29581434101698367</v>
      </c>
      <c r="V313" s="437"/>
      <c r="W313" s="58">
        <f t="shared" si="243"/>
        <v>0.25063423479096925</v>
      </c>
      <c r="X313" s="58">
        <f t="shared" ref="X313:AC313" si="244">X257-X258</f>
        <v>0.25792547105887154</v>
      </c>
      <c r="Y313" s="58">
        <f t="shared" si="244"/>
        <v>0.26521670732677394</v>
      </c>
      <c r="Z313" s="58">
        <f t="shared" si="244"/>
        <v>0.27292807008687836</v>
      </c>
      <c r="AA313" s="58">
        <f t="shared" si="244"/>
        <v>0.28021930635478076</v>
      </c>
      <c r="AB313" s="58">
        <f t="shared" si="244"/>
        <v>0.28752050245651994</v>
      </c>
      <c r="AC313" s="58">
        <f t="shared" si="244"/>
        <v>0.29581434101698367</v>
      </c>
      <c r="AD313" s="437"/>
      <c r="AE313" s="58">
        <f t="shared" si="243"/>
        <v>0.25119759601126801</v>
      </c>
      <c r="AF313" s="58">
        <f t="shared" ref="AF313" si="245">AF257-AF258</f>
        <v>0.25381810620862244</v>
      </c>
      <c r="AG313" s="58">
        <f t="shared" ref="AG313" si="246">AG257-AG258</f>
        <v>0.25643861640597698</v>
      </c>
      <c r="AH313" s="58">
        <f t="shared" ref="AH313" si="247">AH257-AH258</f>
        <v>0.25905912660333141</v>
      </c>
      <c r="AI313" s="58">
        <f t="shared" ref="AI313" si="248">AI257-AI258</f>
        <v>0.2616796368006859</v>
      </c>
      <c r="AJ313" s="58">
        <f t="shared" ref="AJ313" si="249">AJ257-AJ258</f>
        <v>0.26561924555278849</v>
      </c>
      <c r="AK313" s="12"/>
      <c r="AL313" s="12"/>
    </row>
    <row r="314" spans="1:38" x14ac:dyDescent="0.15">
      <c r="A314" s="261" t="s">
        <v>102</v>
      </c>
      <c r="B314" s="105">
        <f t="shared" ref="B314:G314" si="250">B259-B258</f>
        <v>0.13389326765000006</v>
      </c>
      <c r="C314" s="105">
        <f t="shared" si="250"/>
        <v>0.13389326765000004</v>
      </c>
      <c r="D314" s="105">
        <f t="shared" si="250"/>
        <v>0.13389326765000004</v>
      </c>
      <c r="E314" s="105">
        <f t="shared" si="250"/>
        <v>0.13389326765000004</v>
      </c>
      <c r="F314" s="105">
        <f t="shared" si="250"/>
        <v>0.13389326765000009</v>
      </c>
      <c r="G314" s="105">
        <f t="shared" si="250"/>
        <v>0.13389326765000009</v>
      </c>
      <c r="H314" s="446"/>
      <c r="I314" s="105">
        <f t="shared" ref="I314:N314" si="251">I259-I258</f>
        <v>0.12173974928999989</v>
      </c>
      <c r="J314" s="105">
        <f t="shared" si="251"/>
        <v>0.12173974928999992</v>
      </c>
      <c r="K314" s="105">
        <f t="shared" si="251"/>
        <v>0.12173974928999989</v>
      </c>
      <c r="L314" s="105">
        <f t="shared" si="251"/>
        <v>0.12173974928999995</v>
      </c>
      <c r="M314" s="105">
        <f t="shared" si="251"/>
        <v>0.12173974928999995</v>
      </c>
      <c r="N314" s="105">
        <f t="shared" si="251"/>
        <v>0.12173974928999998</v>
      </c>
      <c r="O314" s="446"/>
      <c r="P314" s="105">
        <f t="shared" ref="P314:AE314" si="252">P259-P258</f>
        <v>0.10261613635999994</v>
      </c>
      <c r="Q314" s="105">
        <f>Q259-Q258</f>
        <v>0.10261613635999997</v>
      </c>
      <c r="R314" s="105">
        <f>R259-R258</f>
        <v>0.10261613635999994</v>
      </c>
      <c r="S314" s="105">
        <f>S259-S258</f>
        <v>0.10261613636</v>
      </c>
      <c r="T314" s="105">
        <f>T259-T258</f>
        <v>0.10261613636</v>
      </c>
      <c r="U314" s="105">
        <f>U259-U258</f>
        <v>0.10261613635999997</v>
      </c>
      <c r="V314" s="446"/>
      <c r="W314" s="105">
        <f t="shared" si="252"/>
        <v>0.10261613635999997</v>
      </c>
      <c r="X314" s="105">
        <f t="shared" ref="X314:AC314" si="253">X259-X258</f>
        <v>0.10261613635999994</v>
      </c>
      <c r="Y314" s="105">
        <f t="shared" si="253"/>
        <v>0.10261613635999997</v>
      </c>
      <c r="Z314" s="105">
        <f t="shared" si="253"/>
        <v>0.10261613635999994</v>
      </c>
      <c r="AA314" s="105">
        <f t="shared" si="253"/>
        <v>0.10261613636</v>
      </c>
      <c r="AB314" s="105">
        <f t="shared" si="253"/>
        <v>0.10261613636</v>
      </c>
      <c r="AC314" s="105">
        <f t="shared" si="253"/>
        <v>0.10261613635999997</v>
      </c>
      <c r="AD314" s="446"/>
      <c r="AE314" s="105">
        <f t="shared" si="252"/>
        <v>0.10261613635999994</v>
      </c>
      <c r="AF314" s="105">
        <f t="shared" ref="AF314" si="254">AF259-AF258</f>
        <v>0.10261613635999992</v>
      </c>
      <c r="AG314" s="105">
        <f t="shared" ref="AG314" si="255">AG259-AG258</f>
        <v>0.10261613635999992</v>
      </c>
      <c r="AH314" s="105">
        <f t="shared" ref="AH314" si="256">AH259-AH258</f>
        <v>0.10261613635999997</v>
      </c>
      <c r="AI314" s="105">
        <f t="shared" ref="AI314" si="257">AI259-AI258</f>
        <v>0.10261613635999994</v>
      </c>
      <c r="AJ314" s="105">
        <f t="shared" ref="AJ314" si="258">AJ259-AJ258</f>
        <v>0.10261613635999997</v>
      </c>
      <c r="AK314" s="18"/>
      <c r="AL314" s="18"/>
    </row>
    <row r="315" spans="1:38" x14ac:dyDescent="0.15">
      <c r="A315" s="104" t="s">
        <v>103</v>
      </c>
      <c r="B315" s="106">
        <f t="shared" ref="B315:G315" si="259">B314/B312</f>
        <v>0.53091202052695097</v>
      </c>
      <c r="C315" s="106">
        <f t="shared" si="259"/>
        <v>0.51786589782134629</v>
      </c>
      <c r="D315" s="106">
        <f t="shared" si="259"/>
        <v>0.50555835093681345</v>
      </c>
      <c r="E315" s="106">
        <f t="shared" si="259"/>
        <v>0.49376072500400253</v>
      </c>
      <c r="F315" s="106">
        <f t="shared" si="259"/>
        <v>0.48258925156445459</v>
      </c>
      <c r="G315" s="106">
        <f t="shared" si="259"/>
        <v>0.47167350996403606</v>
      </c>
      <c r="H315" s="447"/>
      <c r="I315" s="106">
        <f t="shared" ref="I315:N315" si="260">I314/I312</f>
        <v>0.53515422829729464</v>
      </c>
      <c r="J315" s="106">
        <f t="shared" si="260"/>
        <v>0.51586154718971566</v>
      </c>
      <c r="K315" s="106">
        <f t="shared" si="260"/>
        <v>0.4981178923295812</v>
      </c>
      <c r="L315" s="106">
        <f t="shared" si="260"/>
        <v>0.48223627217760123</v>
      </c>
      <c r="M315" s="106">
        <f t="shared" si="260"/>
        <v>0.46669554585347994</v>
      </c>
      <c r="N315" s="106">
        <f t="shared" si="260"/>
        <v>0.45198347251284937</v>
      </c>
      <c r="O315" s="447"/>
      <c r="P315" s="106">
        <f t="shared" ref="P315:AE315" si="261">P314/P312</f>
        <v>0.46696889890660814</v>
      </c>
      <c r="Q315" s="106">
        <f>Q314/Q312</f>
        <v>0.45392056618188786</v>
      </c>
      <c r="R315" s="106">
        <f>R314/R312</f>
        <v>0.44088728643755987</v>
      </c>
      <c r="S315" s="106">
        <f>S314/S312</f>
        <v>0.42923764431633765</v>
      </c>
      <c r="T315" s="106">
        <f>T314/T312</f>
        <v>0.41817340724828805</v>
      </c>
      <c r="U315" s="106">
        <f>U314/U312</f>
        <v>0.40627673869870295</v>
      </c>
      <c r="V315" s="447"/>
      <c r="W315" s="106">
        <f t="shared" si="261"/>
        <v>0.48078960500381307</v>
      </c>
      <c r="X315" s="106">
        <f t="shared" ref="X315:AC315" si="262">X314/X312</f>
        <v>0.46696889890660814</v>
      </c>
      <c r="Y315" s="106">
        <f t="shared" si="262"/>
        <v>0.45392056618188786</v>
      </c>
      <c r="Z315" s="106">
        <f t="shared" si="262"/>
        <v>0.44088728643755987</v>
      </c>
      <c r="AA315" s="106">
        <f t="shared" si="262"/>
        <v>0.42923764431633765</v>
      </c>
      <c r="AB315" s="106">
        <f t="shared" si="262"/>
        <v>0.41817340724828805</v>
      </c>
      <c r="AC315" s="106">
        <f t="shared" si="262"/>
        <v>0.40627673869870295</v>
      </c>
      <c r="AD315" s="447"/>
      <c r="AE315" s="106">
        <f t="shared" si="261"/>
        <v>0.47980615895662171</v>
      </c>
      <c r="AF315" s="106">
        <f t="shared" ref="AF315" si="263">AF314/AF312</f>
        <v>0.47474927577823112</v>
      </c>
      <c r="AG315" s="106">
        <f t="shared" ref="AG315" si="264">AG314/AG312</f>
        <v>0.46979787421117264</v>
      </c>
      <c r="AH315" s="106">
        <f t="shared" ref="AH315" si="265">AH314/AH312</f>
        <v>0.46494868795727173</v>
      </c>
      <c r="AI315" s="106">
        <f t="shared" ref="AI315" si="266">AI314/AI312</f>
        <v>0.46019858419764281</v>
      </c>
      <c r="AJ315" s="106">
        <f t="shared" ref="AJ315" si="267">AJ314/AJ312</f>
        <v>0.45324446050982214</v>
      </c>
      <c r="AK315" s="106"/>
      <c r="AL315" s="106"/>
    </row>
    <row r="316" spans="1:38" x14ac:dyDescent="0.15">
      <c r="A316" s="261" t="s">
        <v>346</v>
      </c>
      <c r="B316" s="56">
        <f>((SUMPRODUCT(B$8:B$217,Nutrients!$EE$8:$EE$217)+(IF($A$6=Nutrients!$B$8,Nutrients!$EE$8,Nutrients!$EE$9)*B$6)+(((IF($A$7=Nutrients!$B$79,Nutrients!$EE$79,(IF($A$7=Nutrients!$B$77,Nutrients!$EE$77,Nutrients!$EE$78)))))*B$7))/2000)*2.2046</f>
        <v>1249.7326250000001</v>
      </c>
      <c r="C316" s="56">
        <f>((SUMPRODUCT(C$8:C$217,Nutrients!$EE$8:$EE$217)+(IF($A$6=Nutrients!$B$8,Nutrients!$EE$8,Nutrients!$EE$9)*C$6)+(((IF($A$7=Nutrients!$B$79,Nutrients!$EE$79,(IF($A$7=Nutrients!$B$77,Nutrients!$EE$77,Nutrients!$EE$78)))))*C$7))/2000)*2.2046</f>
        <v>1249.7326250000001</v>
      </c>
      <c r="D316" s="56">
        <f>((SUMPRODUCT(D$8:D$217,Nutrients!$EE$8:$EE$217)+(IF($A$6=Nutrients!$B$8,Nutrients!$EE$8,Nutrients!$EE$9)*D$6)+(((IF($A$7=Nutrients!$B$79,Nutrients!$EE$79,(IF($A$7=Nutrients!$B$77,Nutrients!$EE$77,Nutrients!$EE$78)))))*D$7))/2000)*2.2046</f>
        <v>1249.7326250000001</v>
      </c>
      <c r="E316" s="56">
        <f>((SUMPRODUCT(E$8:E$217,Nutrients!$EE$8:$EE$217)+(IF($A$6=Nutrients!$B$8,Nutrients!$EE$8,Nutrients!$EE$9)*E$6)+(((IF($A$7=Nutrients!$B$79,Nutrients!$EE$79,(IF($A$7=Nutrients!$B$77,Nutrients!$EE$77,Nutrients!$EE$78)))))*E$7))/2000)*2.2046</f>
        <v>1249.7326250000001</v>
      </c>
      <c r="F316" s="56">
        <f>((SUMPRODUCT(F$8:F$217,Nutrients!$EE$8:$EE$217)+(IF($A$6=Nutrients!$B$8,Nutrients!$EE$8,Nutrients!$EE$9)*F$6)+(((IF($A$7=Nutrients!$B$79,Nutrients!$EE$79,(IF($A$7=Nutrients!$B$77,Nutrients!$EE$77,Nutrients!$EE$78)))))*F$7))/2000)*2.2046</f>
        <v>1249.7326250000001</v>
      </c>
      <c r="G316" s="56">
        <f>((SUMPRODUCT(G$8:G$217,Nutrients!$EE$8:$EE$217)+(IF($A$6=Nutrients!$B$8,Nutrients!$EE$8,Nutrients!$EE$9)*G$6)+(((IF($A$7=Nutrients!$B$79,Nutrients!$EE$79,(IF($A$7=Nutrients!$B$77,Nutrients!$EE$77,Nutrients!$EE$78)))))*G$7))/2000)*2.2046</f>
        <v>1249.7326250000001</v>
      </c>
      <c r="H316" s="436"/>
      <c r="I316" s="56">
        <f>((SUMPRODUCT(I$8:I$217,Nutrients!$EE$8:$EE$217)+(IF($A$6=Nutrients!$B$8,Nutrients!$EE$8,Nutrients!$EE$9)*I$6)+(((IF($A$7=Nutrients!$B$79,Nutrients!$EE$79,(IF($A$7=Nutrients!$B$77,Nutrients!$EE$77,Nutrients!$EE$78)))))*I$7))/2000)*2.2046</f>
        <v>749.83957500000008</v>
      </c>
      <c r="J316" s="56">
        <f>((SUMPRODUCT(J$8:J$217,Nutrients!$EE$8:$EE$217)+(IF($A$6=Nutrients!$B$8,Nutrients!$EE$8,Nutrients!$EE$9)*J$6)+(((IF($A$7=Nutrients!$B$79,Nutrients!$EE$79,(IF($A$7=Nutrients!$B$77,Nutrients!$EE$77,Nutrients!$EE$78)))))*J$7))/2000)*2.2046</f>
        <v>749.83957500000008</v>
      </c>
      <c r="K316" s="56">
        <f>((SUMPRODUCT(K$8:K$217,Nutrients!$EE$8:$EE$217)+(IF($A$6=Nutrients!$B$8,Nutrients!$EE$8,Nutrients!$EE$9)*K$6)+(((IF($A$7=Nutrients!$B$79,Nutrients!$EE$79,(IF($A$7=Nutrients!$B$77,Nutrients!$EE$77,Nutrients!$EE$78)))))*K$7))/2000)*2.2046</f>
        <v>749.83957500000008</v>
      </c>
      <c r="L316" s="56">
        <f>((SUMPRODUCT(L$8:L$217,Nutrients!$EE$8:$EE$217)+(IF($A$6=Nutrients!$B$8,Nutrients!$EE$8,Nutrients!$EE$9)*L$6)+(((IF($A$7=Nutrients!$B$79,Nutrients!$EE$79,(IF($A$7=Nutrients!$B$77,Nutrients!$EE$77,Nutrients!$EE$78)))))*L$7))/2000)*2.2046</f>
        <v>749.83957500000008</v>
      </c>
      <c r="M316" s="56">
        <f>((SUMPRODUCT(M$8:M$217,Nutrients!$EE$8:$EE$217)+(IF($A$6=Nutrients!$B$8,Nutrients!$EE$8,Nutrients!$EE$9)*M$6)+(((IF($A$7=Nutrients!$B$79,Nutrients!$EE$79,(IF($A$7=Nutrients!$B$77,Nutrients!$EE$77,Nutrients!$EE$78)))))*M$7))/2000)*2.2046</f>
        <v>749.83957500000008</v>
      </c>
      <c r="N316" s="56">
        <f>((SUMPRODUCT(N$8:N$217,Nutrients!$EE$8:$EE$217)+(IF($A$6=Nutrients!$B$8,Nutrients!$EE$8,Nutrients!$EE$9)*N$6)+(((IF($A$7=Nutrients!$B$79,Nutrients!$EE$79,(IF($A$7=Nutrients!$B$77,Nutrients!$EE$77,Nutrients!$EE$78)))))*N$7))/2000)*2.2046</f>
        <v>749.83957500000008</v>
      </c>
      <c r="O316" s="436"/>
      <c r="P316" s="56">
        <f>((SUMPRODUCT(P$8:P$217,Nutrients!$EE$8:$EE$217)+(IF($A$6=Nutrients!$B$8,Nutrients!$EE$8,Nutrients!$EE$9)*P$6)+(((IF($A$7=Nutrients!$B$79,Nutrients!$EE$79,(IF($A$7=Nutrients!$B$77,Nutrients!$EE$77,Nutrients!$EE$78)))))*P$7))/2000)*2.2046</f>
        <v>499.89305000000002</v>
      </c>
      <c r="Q316" s="56">
        <f>((SUMPRODUCT(Q$8:Q$217,Nutrients!$EE$8:$EE$217)+(IF($A$6=Nutrients!$B$8,Nutrients!$EE$8,Nutrients!$EE$9)*Q$6)+(((IF($A$7=Nutrients!$B$79,Nutrients!$EE$79,(IF($A$7=Nutrients!$B$77,Nutrients!$EE$77,Nutrients!$EE$78)))))*Q$7))/2000)*2.2046</f>
        <v>499.89305000000002</v>
      </c>
      <c r="R316" s="56">
        <f>((SUMPRODUCT(R$8:R$217,Nutrients!$EE$8:$EE$217)+(IF($A$6=Nutrients!$B$8,Nutrients!$EE$8,Nutrients!$EE$9)*R$6)+(((IF($A$7=Nutrients!$B$79,Nutrients!$EE$79,(IF($A$7=Nutrients!$B$77,Nutrients!$EE$77,Nutrients!$EE$78)))))*R$7))/2000)*2.2046</f>
        <v>499.89305000000002</v>
      </c>
      <c r="S316" s="56">
        <f>((SUMPRODUCT(S$8:S$217,Nutrients!$EE$8:$EE$217)+(IF($A$6=Nutrients!$B$8,Nutrients!$EE$8,Nutrients!$EE$9)*S$6)+(((IF($A$7=Nutrients!$B$79,Nutrients!$EE$79,(IF($A$7=Nutrients!$B$77,Nutrients!$EE$77,Nutrients!$EE$78)))))*S$7))/2000)*2.2046</f>
        <v>499.89305000000002</v>
      </c>
      <c r="T316" s="56">
        <f>((SUMPRODUCT(T$8:T$217,Nutrients!$EE$8:$EE$217)+(IF($A$6=Nutrients!$B$8,Nutrients!$EE$8,Nutrients!$EE$9)*T$6)+(((IF($A$7=Nutrients!$B$79,Nutrients!$EE$79,(IF($A$7=Nutrients!$B$77,Nutrients!$EE$77,Nutrients!$EE$78)))))*T$7))/2000)*2.2046</f>
        <v>499.89305000000002</v>
      </c>
      <c r="U316" s="56">
        <f>((SUMPRODUCT(U$8:U$217,Nutrients!$EE$8:$EE$217)+(IF($A$6=Nutrients!$B$8,Nutrients!$EE$8,Nutrients!$EE$9)*U$6)+(((IF($A$7=Nutrients!$B$79,Nutrients!$EE$79,(IF($A$7=Nutrients!$B$77,Nutrients!$EE$77,Nutrients!$EE$78)))))*U$7))/2000)*2.2046</f>
        <v>499.89305000000002</v>
      </c>
      <c r="V316" s="436"/>
      <c r="W316" s="56">
        <f>((SUMPRODUCT(W$8:W$217,Nutrients!$EE$8:$EE$217)+(IF($A$6=Nutrients!$B$8,Nutrients!$EE$8,Nutrients!$EE$9)*W$6)+(((IF($A$7=Nutrients!$B$79,Nutrients!$EE$79,(IF($A$7=Nutrients!$B$77,Nutrients!$EE$77,Nutrients!$EE$78)))))*W$7))/2000)*2.2046</f>
        <v>499.89305000000002</v>
      </c>
      <c r="X316" s="56">
        <f>((SUMPRODUCT(X$8:X$217,Nutrients!$EE$8:$EE$217)+(IF($A$6=Nutrients!$B$8,Nutrients!$EE$8,Nutrients!$EE$9)*X$6)+(((IF($A$7=Nutrients!$B$79,Nutrients!$EE$79,(IF($A$7=Nutrients!$B$77,Nutrients!$EE$77,Nutrients!$EE$78)))))*X$7))/2000)*2.2046</f>
        <v>499.89305000000002</v>
      </c>
      <c r="Y316" s="56">
        <f>((SUMPRODUCT(Y$8:Y$217,Nutrients!$EE$8:$EE$217)+(IF($A$6=Nutrients!$B$8,Nutrients!$EE$8,Nutrients!$EE$9)*Y$6)+(((IF($A$7=Nutrients!$B$79,Nutrients!$EE$79,(IF($A$7=Nutrients!$B$77,Nutrients!$EE$77,Nutrients!$EE$78)))))*Y$7))/2000)*2.2046</f>
        <v>499.89305000000002</v>
      </c>
      <c r="Z316" s="56">
        <f>((SUMPRODUCT(Z$8:Z$217,Nutrients!$EE$8:$EE$217)+(IF($A$6=Nutrients!$B$8,Nutrients!$EE$8,Nutrients!$EE$9)*Z$6)+(((IF($A$7=Nutrients!$B$79,Nutrients!$EE$79,(IF($A$7=Nutrients!$B$77,Nutrients!$EE$77,Nutrients!$EE$78)))))*Z$7))/2000)*2.2046</f>
        <v>499.89305000000002</v>
      </c>
      <c r="AA316" s="56">
        <f>((SUMPRODUCT(AA$8:AA$217,Nutrients!$EE$8:$EE$217)+(IF($A$6=Nutrients!$B$8,Nutrients!$EE$8,Nutrients!$EE$9)*AA$6)+(((IF($A$7=Nutrients!$B$79,Nutrients!$EE$79,(IF($A$7=Nutrients!$B$77,Nutrients!$EE$77,Nutrients!$EE$78)))))*AA$7))/2000)*2.2046</f>
        <v>499.89305000000002</v>
      </c>
      <c r="AB316" s="56">
        <f>((SUMPRODUCT(AB$8:AB$217,Nutrients!$EE$8:$EE$217)+(IF($A$6=Nutrients!$B$8,Nutrients!$EE$8,Nutrients!$EE$9)*AB$6)+(((IF($A$7=Nutrients!$B$79,Nutrients!$EE$79,(IF($A$7=Nutrients!$B$77,Nutrients!$EE$77,Nutrients!$EE$78)))))*AB$7))/2000)*2.2046</f>
        <v>499.89305000000002</v>
      </c>
      <c r="AC316" s="56">
        <f>((SUMPRODUCT(AC$8:AC$217,Nutrients!$EE$8:$EE$217)+(IF($A$6=Nutrients!$B$8,Nutrients!$EE$8,Nutrients!$EE$9)*AC$6)+(((IF($A$7=Nutrients!$B$79,Nutrients!$EE$79,(IF($A$7=Nutrients!$B$77,Nutrients!$EE$77,Nutrients!$EE$78)))))*AC$7))/2000)*2.2046</f>
        <v>499.89305000000002</v>
      </c>
      <c r="AD316" s="436"/>
      <c r="AE316" s="56">
        <f>((SUMPRODUCT(AE$8:AE$217,Nutrients!$EE$8:$EE$217)+(IF($A$6=Nutrients!$B$8,Nutrients!$EE$8,Nutrients!$EE$9)*AE$6)+(((IF($A$7=Nutrients!$B$79,Nutrients!$EE$79,(IF($A$7=Nutrients!$B$77,Nutrients!$EE$77,Nutrients!$EE$78)))))*AE$7))/2000)*2.2046</f>
        <v>499.89305000000002</v>
      </c>
      <c r="AF316" s="56">
        <f>((SUMPRODUCT(AF$8:AF$217,Nutrients!$EE$8:$EE$217)+(IF($A$6=Nutrients!$B$8,Nutrients!$EE$8,Nutrients!$EE$9)*AF$6)+(((IF($A$7=Nutrients!$B$79,Nutrients!$EE$79,(IF($A$7=Nutrients!$B$77,Nutrients!$EE$77,Nutrients!$EE$78)))))*AF$7))/2000)*2.2046</f>
        <v>499.89305000000002</v>
      </c>
      <c r="AG316" s="56">
        <f>((SUMPRODUCT(AG$8:AG$217,Nutrients!$EE$8:$EE$217)+(IF($A$6=Nutrients!$B$8,Nutrients!$EE$8,Nutrients!$EE$9)*AG$6)+(((IF($A$7=Nutrients!$B$79,Nutrients!$EE$79,(IF($A$7=Nutrients!$B$77,Nutrients!$EE$77,Nutrients!$EE$78)))))*AG$7))/2000)*2.2046</f>
        <v>499.89305000000002</v>
      </c>
      <c r="AH316" s="56">
        <f>((SUMPRODUCT(AH$8:AH$217,Nutrients!$EE$8:$EE$217)+(IF($A$6=Nutrients!$B$8,Nutrients!$EE$8,Nutrients!$EE$9)*AH$6)+(((IF($A$7=Nutrients!$B$79,Nutrients!$EE$79,(IF($A$7=Nutrients!$B$77,Nutrients!$EE$77,Nutrients!$EE$78)))))*AH$7))/2000)*2.2046</f>
        <v>499.89305000000002</v>
      </c>
      <c r="AI316" s="56">
        <f>((SUMPRODUCT(AI$8:AI$217,Nutrients!$EE$8:$EE$217)+(IF($A$6=Nutrients!$B$8,Nutrients!$EE$8,Nutrients!$EE$9)*AI$6)+(((IF($A$7=Nutrients!$B$79,Nutrients!$EE$79,(IF($A$7=Nutrients!$B$77,Nutrients!$EE$77,Nutrients!$EE$78)))))*AI$7))/2000)*2.2046</f>
        <v>499.89305000000002</v>
      </c>
      <c r="AJ316" s="56">
        <f>((SUMPRODUCT(AJ$8:AJ$217,Nutrients!$EE$8:$EE$217)+(IF($A$6=Nutrients!$B$8,Nutrients!$EE$8,Nutrients!$EE$9)*AJ$6)+(((IF($A$7=Nutrients!$B$79,Nutrients!$EE$79,(IF($A$7=Nutrients!$B$77,Nutrients!$EE$77,Nutrients!$EE$78)))))*AJ$7))/2000)*2.2046</f>
        <v>499.89305000000002</v>
      </c>
      <c r="AK316" s="56"/>
      <c r="AL316" s="56"/>
    </row>
    <row r="317" spans="1:38" x14ac:dyDescent="0.15">
      <c r="A317" s="261" t="s">
        <v>347</v>
      </c>
      <c r="B317" s="58">
        <f>((SUMPRODUCT(B$8:B$217,Nutrients!$FK$8:$FK$217)+(IF($A$6=Nutrients!$B$8,Nutrients!$FK$8,Nutrients!$FK$9)*B$6)+(((IF($A$7=Nutrients!$B$79,Nutrients!$FK$79,(IF($A$7=Nutrients!$B$77,Nutrients!$FK$77,Nutrients!$FK$78)))))*B$7))/2000)</f>
        <v>1.725557946806467</v>
      </c>
      <c r="C317" s="58">
        <f>((SUMPRODUCT(C$8:C$217,Nutrients!$FK$8:$FK$217)+(IF($A$6=Nutrients!$B$8,Nutrients!$FK$8,Nutrients!$FK$9)*C$6)+(((IF($A$7=Nutrients!$B$79,Nutrients!$FK$79,(IF($A$7=Nutrients!$B$77,Nutrients!$FK$77,Nutrients!$FK$78)))))*C$7))/2000)</f>
        <v>1.7210932937272145</v>
      </c>
      <c r="D317" s="58">
        <f>((SUMPRODUCT(D$8:D$217,Nutrients!$FK$8:$FK$217)+(IF($A$6=Nutrients!$B$8,Nutrients!$FK$8,Nutrients!$FK$9)*D$6)+(((IF($A$7=Nutrients!$B$79,Nutrients!$FK$79,(IF($A$7=Nutrients!$B$77,Nutrients!$FK$77,Nutrients!$FK$78)))))*D$7))/2000)</f>
        <v>1.7159556139615579</v>
      </c>
      <c r="E317" s="58">
        <f>((SUMPRODUCT(E$8:E$217,Nutrients!$FK$8:$FK$217)+(IF($A$6=Nutrients!$B$8,Nutrients!$FK$8,Nutrients!$FK$9)*E$6)+(((IF($A$7=Nutrients!$B$79,Nutrients!$FK$79,(IF($A$7=Nutrients!$B$77,Nutrients!$FK$77,Nutrients!$FK$78)))))*E$7))/2000)</f>
        <v>1.7112025208738466</v>
      </c>
      <c r="F317" s="58">
        <f>((SUMPRODUCT(F$8:F$217,Nutrients!$FK$8:$FK$217)+(IF($A$6=Nutrients!$B$8,Nutrients!$FK$8,Nutrients!$FK$9)*F$6)+(((IF($A$7=Nutrients!$B$79,Nutrients!$FK$79,(IF($A$7=Nutrients!$B$77,Nutrients!$FK$77,Nutrients!$FK$78)))))*F$7))/2000)</f>
        <v>1.7058725477692169</v>
      </c>
      <c r="G317" s="58">
        <f>((SUMPRODUCT(G$8:G$217,Nutrients!$FK$8:$FK$217)+(IF($A$6=Nutrients!$B$8,Nutrients!$FK$8,Nutrients!$FK$9)*G$6)+(((IF($A$7=Nutrients!$B$79,Nutrients!$FK$79,(IF($A$7=Nutrients!$B$77,Nutrients!$FK$77,Nutrients!$FK$78)))))*G$7))/2000)</f>
        <v>1.6972785680458562</v>
      </c>
      <c r="H317" s="437"/>
      <c r="I317" s="58">
        <f>((SUMPRODUCT(I$8:I$217,Nutrients!$FK$8:$FK$217)+(IF($A$6=Nutrients!$B$8,Nutrients!$FK$8,Nutrients!$FK$9)*I$6)+(((IF($A$7=Nutrients!$B$79,Nutrients!$FK$79,(IF($A$7=Nutrients!$B$77,Nutrients!$FK$77,Nutrients!$FK$78)))))*I$7))/2000)</f>
        <v>1.7771622616621539</v>
      </c>
      <c r="J317" s="58">
        <f>((SUMPRODUCT(J$8:J$217,Nutrients!$FK$8:$FK$217)+(IF($A$6=Nutrients!$B$8,Nutrients!$FK$8,Nutrients!$FK$9)*J$6)+(((IF($A$7=Nutrients!$B$79,Nutrients!$FK$79,(IF($A$7=Nutrients!$B$77,Nutrients!$FK$77,Nutrients!$FK$78)))))*J$7))/2000)</f>
        <v>1.7387854943599115</v>
      </c>
      <c r="K317" s="58">
        <f>((SUMPRODUCT(K$8:K$217,Nutrients!$FK$8:$FK$217)+(IF($A$6=Nutrients!$B$8,Nutrients!$FK$8,Nutrients!$FK$9)*K$6)+(((IF($A$7=Nutrients!$B$79,Nutrients!$FK$79,(IF($A$7=Nutrients!$B$77,Nutrients!$FK$77,Nutrients!$FK$78)))))*K$7))/2000)</f>
        <v>1.7041534670238327</v>
      </c>
      <c r="L317" s="58">
        <f>((SUMPRODUCT(L$8:L$217,Nutrients!$FK$8:$FK$217)+(IF($A$6=Nutrients!$B$8,Nutrients!$FK$8,Nutrients!$FK$9)*L$6)+(((IF($A$7=Nutrients!$B$79,Nutrients!$FK$79,(IF($A$7=Nutrients!$B$77,Nutrients!$FK$77,Nutrients!$FK$78)))))*L$7))/2000)</f>
        <v>1.6671381696765839</v>
      </c>
      <c r="M317" s="58">
        <f>((SUMPRODUCT(M$8:M$217,Nutrients!$FK$8:$FK$217)+(IF($A$6=Nutrients!$B$8,Nutrients!$FK$8,Nutrients!$FK$9)*M$6)+(((IF($A$7=Nutrients!$B$79,Nutrients!$FK$79,(IF($A$7=Nutrients!$B$77,Nutrients!$FK$77,Nutrients!$FK$78)))))*M$7))/2000)</f>
        <v>1.6325061423405045</v>
      </c>
      <c r="N317" s="58">
        <f>((SUMPRODUCT(N$8:N$217,Nutrients!$FK$8:$FK$217)+(IF($A$6=Nutrients!$B$8,Nutrients!$FK$8,Nutrients!$FK$9)*N$6)+(((IF($A$7=Nutrients!$B$79,Nutrients!$FK$79,(IF($A$7=Nutrients!$B$77,Nutrients!$FK$77,Nutrients!$FK$78)))))*N$7))/2000)</f>
        <v>1.5939370816992895</v>
      </c>
      <c r="O317" s="437"/>
      <c r="P317" s="58">
        <f>((SUMPRODUCT(P$8:P$217,Nutrients!$FK$8:$FK$217)+(IF($A$6=Nutrients!$B$8,Nutrients!$FK$8,Nutrients!$FK$9)*P$6)+(((IF($A$7=Nutrients!$B$79,Nutrients!$FK$79,(IF($A$7=Nutrients!$B$77,Nutrients!$FK$77,Nutrients!$FK$78)))))*P$7))/2000)</f>
        <v>1.8033625756637348</v>
      </c>
      <c r="Q317" s="58">
        <f>((SUMPRODUCT(Q$8:Q$217,Nutrients!$FK$8:$FK$217)+(IF($A$6=Nutrients!$B$8,Nutrients!$FK$8,Nutrients!$FK$9)*Q$6)+(((IF($A$7=Nutrients!$B$79,Nutrients!$FK$79,(IF($A$7=Nutrients!$B$77,Nutrients!$FK$77,Nutrients!$FK$78)))))*Q$7))/2000)</f>
        <v>1.7748261241412855</v>
      </c>
      <c r="R317" s="58">
        <f>((SUMPRODUCT(R$8:R$217,Nutrients!$FK$8:$FK$217)+(IF($A$6=Nutrients!$B$8,Nutrients!$FK$8,Nutrients!$FK$9)*R$6)+(((IF($A$7=Nutrients!$B$79,Nutrients!$FK$79,(IF($A$7=Nutrients!$B$77,Nutrients!$FK$77,Nutrients!$FK$78)))))*R$7))/2000)</f>
        <v>1.7487690892994925</v>
      </c>
      <c r="S317" s="58">
        <f>((SUMPRODUCT(S$8:S$217,Nutrients!$FK$8:$FK$217)+(IF($A$6=Nutrients!$B$8,Nutrients!$FK$8,Nutrients!$FK$9)*S$6)+(((IF($A$7=Nutrients!$B$79,Nutrients!$FK$79,(IF($A$7=Nutrients!$B$77,Nutrients!$FK$77,Nutrients!$FK$78)))))*S$7))/2000)</f>
        <v>1.7202326377770423</v>
      </c>
      <c r="T317" s="58">
        <f>((SUMPRODUCT(T$8:T$217,Nutrients!$FK$8:$FK$217)+(IF($A$6=Nutrients!$B$8,Nutrients!$FK$8,Nutrients!$FK$9)*T$6)+(((IF($A$7=Nutrients!$B$79,Nutrients!$FK$79,(IF($A$7=Nutrients!$B$77,Nutrients!$FK$77,Nutrients!$FK$78)))))*T$7))/2000)</f>
        <v>1.6917923329240794</v>
      </c>
      <c r="U317" s="58">
        <f>((SUMPRODUCT(U$8:U$217,Nutrients!$FK$8:$FK$217)+(IF($A$6=Nutrients!$B$8,Nutrients!$FK$8,Nutrients!$FK$9)*U$6)+(((IF($A$7=Nutrients!$B$79,Nutrients!$FK$79,(IF($A$7=Nutrients!$B$77,Nutrients!$FK$77,Nutrients!$FK$78)))))*U$7))/2000)</f>
        <v>1.6648737908086224</v>
      </c>
      <c r="V317" s="437"/>
      <c r="W317" s="58">
        <f>((SUMPRODUCT(W$8:W$217,Nutrients!$FK$8:$FK$217)+(IF($A$6=Nutrients!$B$8,Nutrients!$FK$8,Nutrients!$FK$9)*W$6)+(((IF($A$7=Nutrients!$B$79,Nutrients!$FK$79,(IF($A$7=Nutrients!$B$77,Nutrients!$FK$77,Nutrients!$FK$78)))))*W$7))/2000)</f>
        <v>1.8318990271861841</v>
      </c>
      <c r="X317" s="58">
        <f>((SUMPRODUCT(X$8:X$217,Nutrients!$FK$8:$FK$217)+(IF($A$6=Nutrients!$B$8,Nutrients!$FK$8,Nutrients!$FK$9)*X$6)+(((IF($A$7=Nutrients!$B$79,Nutrients!$FK$79,(IF($A$7=Nutrients!$B$77,Nutrients!$FK$77,Nutrients!$FK$78)))))*X$7))/2000)</f>
        <v>1.8033625756637348</v>
      </c>
      <c r="Y317" s="58">
        <f>((SUMPRODUCT(Y$8:Y$217,Nutrients!$FK$8:$FK$217)+(IF($A$6=Nutrients!$B$8,Nutrients!$FK$8,Nutrients!$FK$9)*Y$6)+(((IF($A$7=Nutrients!$B$79,Nutrients!$FK$79,(IF($A$7=Nutrients!$B$77,Nutrients!$FK$77,Nutrients!$FK$78)))))*Y$7))/2000)</f>
        <v>1.7748261241412855</v>
      </c>
      <c r="Z317" s="58">
        <f>((SUMPRODUCT(Z$8:Z$217,Nutrients!$FK$8:$FK$217)+(IF($A$6=Nutrients!$B$8,Nutrients!$FK$8,Nutrients!$FK$9)*Z$6)+(((IF($A$7=Nutrients!$B$79,Nutrients!$FK$79,(IF($A$7=Nutrients!$B$77,Nutrients!$FK$77,Nutrients!$FK$78)))))*Z$7))/2000)</f>
        <v>1.7487690892994925</v>
      </c>
      <c r="AA317" s="58">
        <f>((SUMPRODUCT(AA$8:AA$217,Nutrients!$FK$8:$FK$217)+(IF($A$6=Nutrients!$B$8,Nutrients!$FK$8,Nutrients!$FK$9)*AA$6)+(((IF($A$7=Nutrients!$B$79,Nutrients!$FK$79,(IF($A$7=Nutrients!$B$77,Nutrients!$FK$77,Nutrients!$FK$78)))))*AA$7))/2000)</f>
        <v>1.7202326377770423</v>
      </c>
      <c r="AB317" s="58">
        <f>((SUMPRODUCT(AB$8:AB$217,Nutrients!$FK$8:$FK$217)+(IF($A$6=Nutrients!$B$8,Nutrients!$FK$8,Nutrients!$FK$9)*AB$6)+(((IF($A$7=Nutrients!$B$79,Nutrients!$FK$79,(IF($A$7=Nutrients!$B$77,Nutrients!$FK$77,Nutrients!$FK$78)))))*AB$7))/2000)</f>
        <v>1.6917923329240794</v>
      </c>
      <c r="AC317" s="58">
        <f>((SUMPRODUCT(AC$8:AC$217,Nutrients!$FK$8:$FK$217)+(IF($A$6=Nutrients!$B$8,Nutrients!$FK$8,Nutrients!$FK$9)*AC$6)+(((IF($A$7=Nutrients!$B$79,Nutrients!$FK$79,(IF($A$7=Nutrients!$B$77,Nutrients!$FK$77,Nutrients!$FK$78)))))*AC$7))/2000)</f>
        <v>1.6648737908086224</v>
      </c>
      <c r="AD317" s="437"/>
      <c r="AE317" s="58">
        <f>((SUMPRODUCT(AE$8:AE$217,Nutrients!$FK$8:$FK$217)+(IF($A$6=Nutrients!$B$8,Nutrients!$FK$8,Nutrients!$FK$9)*AE$6)+(((IF($A$7=Nutrients!$B$79,Nutrients!$FK$79,(IF($A$7=Nutrients!$B$77,Nutrients!$FK$77,Nutrients!$FK$78)))))*AE$7))/2000)</f>
        <v>1.7559295347441826</v>
      </c>
      <c r="AF317" s="58">
        <f>((SUMPRODUCT(AF$8:AF$217,Nutrients!$FK$8:$FK$217)+(IF($A$6=Nutrients!$B$8,Nutrients!$FK$8,Nutrients!$FK$9)*AF$6)+(((IF($A$7=Nutrients!$B$79,Nutrients!$FK$79,(IF($A$7=Nutrients!$B$77,Nutrients!$FK$77,Nutrients!$FK$78)))))*AF$7))/2000)</f>
        <v>1.75368684807207</v>
      </c>
      <c r="AG317" s="58">
        <f>((SUMPRODUCT(AG$8:AG$217,Nutrients!$FK$8:$FK$217)+(IF($A$6=Nutrients!$B$8,Nutrients!$FK$8,Nutrients!$FK$9)*AG$6)+(((IF($A$7=Nutrients!$B$79,Nutrients!$FK$79,(IF($A$7=Nutrients!$B$77,Nutrients!$FK$77,Nutrients!$FK$78)))))*AG$7))/2000)</f>
        <v>1.7514441613999574</v>
      </c>
      <c r="AH317" s="58">
        <f>((SUMPRODUCT(AH$8:AH$217,Nutrients!$FK$8:$FK$217)+(IF($A$6=Nutrients!$B$8,Nutrients!$FK$8,Nutrients!$FK$9)*AH$6)+(((IF($A$7=Nutrients!$B$79,Nutrients!$FK$79,(IF($A$7=Nutrients!$B$77,Nutrients!$FK$77,Nutrients!$FK$78)))))*AH$7))/2000)</f>
        <v>1.7492014747278455</v>
      </c>
      <c r="AI317" s="58">
        <f>((SUMPRODUCT(AI$8:AI$217,Nutrients!$FK$8:$FK$217)+(IF($A$6=Nutrients!$B$8,Nutrients!$FK$8,Nutrients!$FK$9)*AI$6)+(((IF($A$7=Nutrients!$B$79,Nutrients!$FK$79,(IF($A$7=Nutrients!$B$77,Nutrients!$FK$77,Nutrients!$FK$78)))))*AI$7))/2000)</f>
        <v>1.7469587880557329</v>
      </c>
      <c r="AJ317" s="58">
        <f>((SUMPRODUCT(AJ$8:AJ$217,Nutrients!$FK$8:$FK$217)+(IF($A$6=Nutrients!$B$8,Nutrients!$FK$8,Nutrients!$FK$9)*AJ$6)+(((IF($A$7=Nutrients!$B$79,Nutrients!$FK$79,(IF($A$7=Nutrients!$B$77,Nutrients!$FK$77,Nutrients!$FK$78)))))*AJ$7))/2000)</f>
        <v>1.7410165668037234</v>
      </c>
      <c r="AK317" s="58"/>
      <c r="AL317" s="58"/>
    </row>
    <row r="318" spans="1:38" x14ac:dyDescent="0.15">
      <c r="A318" s="261" t="s">
        <v>395</v>
      </c>
      <c r="B318" s="57">
        <f>(SUMPRODUCT(B$8:B$217,Nutrients!$U$8:$U$217)+(IF($A$6=Nutrients!$B$8,Nutrients!$U$8,Nutrients!$U$9)*B$6)+(((IF($A$7=Nutrients!$B$79,Nutrients!$U$79,(IF($A$7=Nutrients!$B$77,Nutrients!$U$77,Nutrients!$U$78)))))*B$7))/2000</f>
        <v>8.4235662910508697</v>
      </c>
      <c r="C318" s="57">
        <f>(SUMPRODUCT(C$8:C$217,Nutrients!$U$8:$U$217)+(IF($A$6=Nutrients!$B$8,Nutrients!$U$8,Nutrients!$U$9)*C$6)+(((IF($A$7=Nutrients!$B$79,Nutrients!$U$79,(IF($A$7=Nutrients!$B$77,Nutrients!$U$77,Nutrients!$U$78)))))*C$7))/2000</f>
        <v>8.3700944956724079</v>
      </c>
      <c r="D318" s="57">
        <f>(SUMPRODUCT(D$8:D$217,Nutrients!$U$8:$U$217)+(IF($A$6=Nutrients!$B$8,Nutrients!$U$8,Nutrients!$U$9)*D$6)+(((IF($A$7=Nutrients!$B$79,Nutrients!$U$79,(IF($A$7=Nutrients!$B$77,Nutrients!$U$77,Nutrients!$U$78)))))*D$7))/2000</f>
        <v>8.3134104087531639</v>
      </c>
      <c r="E318" s="57">
        <f>(SUMPRODUCT(E$8:E$217,Nutrients!$U$8:$U$217)+(IF($A$6=Nutrients!$B$8,Nutrients!$U$8,Nutrients!$U$9)*E$6)+(((IF($A$7=Nutrients!$B$79,Nutrients!$U$79,(IF($A$7=Nutrients!$B$77,Nutrients!$U$77,Nutrients!$U$78)))))*E$7))/2000</f>
        <v>8.2585619170000815</v>
      </c>
      <c r="F318" s="57">
        <f>(SUMPRODUCT(F$8:F$217,Nutrients!$U$8:$U$217)+(IF($A$6=Nutrients!$B$8,Nutrients!$U$8,Nutrients!$U$9)*F$6)+(((IF($A$7=Nutrients!$B$79,Nutrients!$U$79,(IF($A$7=Nutrients!$B$77,Nutrients!$U$77,Nutrients!$U$78)))))*F$7))/2000</f>
        <v>8.2009600324977541</v>
      </c>
      <c r="G318" s="57">
        <f>(SUMPRODUCT(G$8:G$217,Nutrients!$U$8:$U$217)+(IF($A$6=Nutrients!$B$8,Nutrients!$U$8,Nutrients!$U$9)*G$6)+(((IF($A$7=Nutrients!$B$79,Nutrients!$U$79,(IF($A$7=Nutrients!$B$77,Nutrients!$U$77,Nutrients!$U$78)))))*G$7))/2000</f>
        <v>8.1511594274516206</v>
      </c>
      <c r="H318" s="438"/>
      <c r="I318" s="57">
        <f>(SUMPRODUCT(I$8:I$217,Nutrients!$U$8:$U$217)+(IF($A$6=Nutrients!$B$8,Nutrients!$U$8,Nutrients!$U$9)*I$6)+(((IF($A$7=Nutrients!$B$79,Nutrients!$U$79,(IF($A$7=Nutrients!$B$77,Nutrients!$U$77,Nutrients!$U$78)))))*I$7))/2000</f>
        <v>8.5263193251000242</v>
      </c>
      <c r="J318" s="57">
        <f>(SUMPRODUCT(J$8:J$217,Nutrients!$U$8:$U$217)+(IF($A$6=Nutrients!$B$8,Nutrients!$U$8,Nutrients!$U$9)*J$6)+(((IF($A$7=Nutrients!$B$79,Nutrients!$U$79,(IF($A$7=Nutrients!$B$77,Nutrients!$U$77,Nutrients!$U$78)))))*J$7))/2000</f>
        <v>8.5141374164856689</v>
      </c>
      <c r="K318" s="57">
        <f>(SUMPRODUCT(K$8:K$217,Nutrients!$U$8:$U$217)+(IF($A$6=Nutrients!$B$8,Nutrients!$U$8,Nutrients!$U$9)*K$6)+(((IF($A$7=Nutrients!$B$79,Nutrients!$U$79,(IF($A$7=Nutrients!$B$77,Nutrients!$U$77,Nutrients!$U$78)))))*K$7))/2000</f>
        <v>8.4964487223728273</v>
      </c>
      <c r="L318" s="57">
        <f>(SUMPRODUCT(L$8:L$217,Nutrients!$U$8:$U$217)+(IF($A$6=Nutrients!$B$8,Nutrients!$U$8,Nutrients!$U$9)*L$6)+(((IF($A$7=Nutrients!$B$79,Nutrients!$U$79,(IF($A$7=Nutrients!$B$77,Nutrients!$U$77,Nutrients!$U$78)))))*L$7))/2000</f>
        <v>8.4852556164448441</v>
      </c>
      <c r="M318" s="57">
        <f>(SUMPRODUCT(M$8:M$217,Nutrients!$U$8:$U$217)+(IF($A$6=Nutrients!$B$8,Nutrients!$U$8,Nutrients!$U$9)*M$6)+(((IF($A$7=Nutrients!$B$79,Nutrients!$U$79,(IF($A$7=Nutrients!$B$77,Nutrients!$U$77,Nutrients!$U$78)))))*M$7))/2000</f>
        <v>8.4675669223320007</v>
      </c>
      <c r="N318" s="57">
        <f>(SUMPRODUCT(N$8:N$217,Nutrients!$U$8:$U$217)+(IF($A$6=Nutrients!$B$8,Nutrients!$U$8,Nutrients!$U$9)*N$6)+(((IF($A$7=Nutrients!$B$79,Nutrients!$U$79,(IF($A$7=Nutrients!$B$77,Nutrients!$U$77,Nutrients!$U$78)))))*N$7))/2000</f>
        <v>8.454467216134562</v>
      </c>
      <c r="O318" s="438"/>
      <c r="P318" s="57">
        <f>(SUMPRODUCT(P$8:P$217,Nutrients!$U$8:$U$217)+(IF($A$6=Nutrients!$B$8,Nutrients!$U$8,Nutrients!$U$9)*P$6)+(((IF($A$7=Nutrients!$B$79,Nutrients!$U$79,(IF($A$7=Nutrients!$B$77,Nutrients!$U$77,Nutrients!$U$78)))))*P$7))/2000</f>
        <v>8.6521831073569029</v>
      </c>
      <c r="Q318" s="57">
        <f>(SUMPRODUCT(Q$8:Q$217,Nutrients!$U$8:$U$217)+(IF($A$6=Nutrients!$B$8,Nutrients!$U$8,Nutrients!$U$9)*Q$6)+(((IF($A$7=Nutrients!$B$79,Nutrients!$U$79,(IF($A$7=Nutrients!$B$77,Nutrients!$U$77,Nutrients!$U$78)))))*Q$7))/2000</f>
        <v>8.6385861319588475</v>
      </c>
      <c r="R318" s="57">
        <f>(SUMPRODUCT(R$8:R$217,Nutrients!$U$8:$U$217)+(IF($A$6=Nutrients!$B$8,Nutrients!$U$8,Nutrients!$U$9)*R$6)+(((IF($A$7=Nutrients!$B$79,Nutrients!$U$79,(IF($A$7=Nutrients!$B$77,Nutrients!$U$77,Nutrients!$U$78)))))*R$7))/2000</f>
        <v>8.6189524671674693</v>
      </c>
      <c r="S318" s="57">
        <f>(SUMPRODUCT(S$8:S$217,Nutrients!$U$8:$U$217)+(IF($A$6=Nutrients!$B$8,Nutrients!$U$8,Nutrients!$U$9)*S$6)+(((IF($A$7=Nutrients!$B$79,Nutrients!$U$79,(IF($A$7=Nutrients!$B$77,Nutrients!$U$77,Nutrients!$U$78)))))*S$7))/2000</f>
        <v>8.6053554917694104</v>
      </c>
      <c r="T318" s="57">
        <f>(SUMPRODUCT(T$8:T$217,Nutrients!$U$8:$U$217)+(IF($A$6=Nutrients!$B$8,Nutrients!$U$8,Nutrients!$U$9)*T$6)+(((IF($A$7=Nutrients!$B$79,Nutrients!$U$79,(IF($A$7=Nutrients!$B$77,Nutrients!$U$77,Nutrients!$U$78)))))*T$7))/2000</f>
        <v>8.5922174151628976</v>
      </c>
      <c r="U318" s="57">
        <f>(SUMPRODUCT(U$8:U$217,Nutrients!$U$8:$U$217)+(IF($A$6=Nutrients!$B$8,Nutrients!$U$8,Nutrients!$U$9)*U$6)+(((IF($A$7=Nutrients!$B$79,Nutrients!$U$79,(IF($A$7=Nutrients!$B$77,Nutrients!$U$77,Nutrients!$U$78)))))*U$7))/2000</f>
        <v>8.5739812214011586</v>
      </c>
      <c r="V318" s="438"/>
      <c r="W318" s="57">
        <f>(SUMPRODUCT(W$8:W$217,Nutrients!$U$8:$U$217)+(IF($A$6=Nutrients!$B$8,Nutrients!$U$8,Nutrients!$U$9)*W$6)+(((IF($A$7=Nutrients!$B$79,Nutrients!$U$79,(IF($A$7=Nutrients!$B$77,Nutrients!$U$77,Nutrients!$U$78)))))*W$7))/2000</f>
        <v>8.66578008275496</v>
      </c>
      <c r="X318" s="57">
        <f>(SUMPRODUCT(X$8:X$217,Nutrients!$U$8:$U$217)+(IF($A$6=Nutrients!$B$8,Nutrients!$U$8,Nutrients!$U$9)*X$6)+(((IF($A$7=Nutrients!$B$79,Nutrients!$U$79,(IF($A$7=Nutrients!$B$77,Nutrients!$U$77,Nutrients!$U$78)))))*X$7))/2000</f>
        <v>8.6521831073569029</v>
      </c>
      <c r="Y318" s="57">
        <f>(SUMPRODUCT(Y$8:Y$217,Nutrients!$U$8:$U$217)+(IF($A$6=Nutrients!$B$8,Nutrients!$U$8,Nutrients!$U$9)*Y$6)+(((IF($A$7=Nutrients!$B$79,Nutrients!$U$79,(IF($A$7=Nutrients!$B$77,Nutrients!$U$77,Nutrients!$U$78)))))*Y$7))/2000</f>
        <v>8.6385861319588475</v>
      </c>
      <c r="Z318" s="57">
        <f>(SUMPRODUCT(Z$8:Z$217,Nutrients!$U$8:$U$217)+(IF($A$6=Nutrients!$B$8,Nutrients!$U$8,Nutrients!$U$9)*Z$6)+(((IF($A$7=Nutrients!$B$79,Nutrients!$U$79,(IF($A$7=Nutrients!$B$77,Nutrients!$U$77,Nutrients!$U$78)))))*Z$7))/2000</f>
        <v>8.6189524671674693</v>
      </c>
      <c r="AA318" s="57">
        <f>(SUMPRODUCT(AA$8:AA$217,Nutrients!$U$8:$U$217)+(IF($A$6=Nutrients!$B$8,Nutrients!$U$8,Nutrients!$U$9)*AA$6)+(((IF($A$7=Nutrients!$B$79,Nutrients!$U$79,(IF($A$7=Nutrients!$B$77,Nutrients!$U$77,Nutrients!$U$78)))))*AA$7))/2000</f>
        <v>8.6053554917694104</v>
      </c>
      <c r="AB318" s="57">
        <f>(SUMPRODUCT(AB$8:AB$217,Nutrients!$U$8:$U$217)+(IF($A$6=Nutrients!$B$8,Nutrients!$U$8,Nutrients!$U$9)*AB$6)+(((IF($A$7=Nutrients!$B$79,Nutrients!$U$79,(IF($A$7=Nutrients!$B$77,Nutrients!$U$77,Nutrients!$U$78)))))*AB$7))/2000</f>
        <v>8.5922174151628976</v>
      </c>
      <c r="AC318" s="57">
        <f>(SUMPRODUCT(AC$8:AC$217,Nutrients!$U$8:$U$217)+(IF($A$6=Nutrients!$B$8,Nutrients!$U$8,Nutrients!$U$9)*AC$6)+(((IF($A$7=Nutrients!$B$79,Nutrients!$U$79,(IF($A$7=Nutrients!$B$77,Nutrients!$U$77,Nutrients!$U$78)))))*AC$7))/2000</f>
        <v>8.5739812214011586</v>
      </c>
      <c r="AD318" s="438"/>
      <c r="AE318" s="57">
        <f>(SUMPRODUCT(AE$8:AE$217,Nutrients!$U$8:$U$217)+(IF($A$6=Nutrients!$B$8,Nutrients!$U$8,Nutrients!$U$9)*AE$6)+(((IF($A$7=Nutrients!$B$79,Nutrients!$U$79,(IF($A$7=Nutrients!$B$77,Nutrients!$U$77,Nutrients!$U$78)))))*AE$7))/2000</f>
        <v>8.7951175459296156</v>
      </c>
      <c r="AF318" s="57">
        <f>(SUMPRODUCT(AF$8:AF$217,Nutrients!$U$8:$U$217)+(IF($A$6=Nutrients!$B$8,Nutrients!$U$8,Nutrients!$U$9)*AF$6)+(((IF($A$7=Nutrients!$B$79,Nutrients!$U$79,(IF($A$7=Nutrients!$B$77,Nutrients!$U$77,Nutrients!$U$78)))))*AF$7))/2000</f>
        <v>8.7694230047113582</v>
      </c>
      <c r="AG318" s="57">
        <f>(SUMPRODUCT(AG$8:AG$217,Nutrients!$U$8:$U$217)+(IF($A$6=Nutrients!$B$8,Nutrients!$U$8,Nutrients!$U$9)*AG$6)+(((IF($A$7=Nutrients!$B$79,Nutrients!$U$79,(IF($A$7=Nutrients!$B$77,Nutrients!$U$77,Nutrients!$U$78)))))*AG$7))/2000</f>
        <v>8.7437284634931007</v>
      </c>
      <c r="AH318" s="57">
        <f>(SUMPRODUCT(AH$8:AH$217,Nutrients!$U$8:$U$217)+(IF($A$6=Nutrients!$B$8,Nutrients!$U$8,Nutrients!$U$9)*AH$6)+(((IF($A$7=Nutrients!$B$79,Nutrients!$U$79,(IF($A$7=Nutrients!$B$77,Nutrients!$U$77,Nutrients!$U$78)))))*AH$7))/2000</f>
        <v>8.7180339222748433</v>
      </c>
      <c r="AI318" s="57">
        <f>(SUMPRODUCT(AI$8:AI$217,Nutrients!$U$8:$U$217)+(IF($A$6=Nutrients!$B$8,Nutrients!$U$8,Nutrients!$U$9)*AI$6)+(((IF($A$7=Nutrients!$B$79,Nutrients!$U$79,(IF($A$7=Nutrients!$B$77,Nutrients!$U$77,Nutrients!$U$78)))))*AI$7))/2000</f>
        <v>8.6923393810565859</v>
      </c>
      <c r="AJ318" s="57">
        <f>(SUMPRODUCT(AJ$8:AJ$217,Nutrients!$U$8:$U$217)+(IF($A$6=Nutrients!$B$8,Nutrients!$U$8,Nutrients!$U$9)*AJ$6)+(((IF($A$7=Nutrients!$B$79,Nutrients!$U$79,(IF($A$7=Nutrients!$B$77,Nutrients!$U$77,Nutrients!$U$78)))))*AJ$7))/2000</f>
        <v>8.6629704706050443</v>
      </c>
      <c r="AK318" s="57"/>
      <c r="AL318" s="57"/>
    </row>
    <row r="319" spans="1:38" x14ac:dyDescent="0.15">
      <c r="A319" s="261"/>
      <c r="B319" s="58"/>
      <c r="C319" s="58"/>
      <c r="D319" s="58"/>
      <c r="E319" s="58"/>
      <c r="F319" s="58"/>
      <c r="G319" s="58"/>
      <c r="H319" s="437"/>
      <c r="I319" s="58"/>
      <c r="J319" s="58"/>
      <c r="K319" s="58"/>
      <c r="L319" s="58"/>
      <c r="M319" s="58"/>
      <c r="N319" s="58"/>
      <c r="O319" s="437"/>
      <c r="P319" s="58"/>
      <c r="Q319" s="58"/>
      <c r="R319" s="58"/>
      <c r="S319" s="58"/>
      <c r="T319" s="58"/>
      <c r="U319" s="58"/>
      <c r="V319" s="437"/>
      <c r="W319" s="58"/>
      <c r="X319" s="58"/>
      <c r="Y319" s="58"/>
      <c r="Z319" s="58"/>
      <c r="AA319" s="58"/>
      <c r="AB319" s="58"/>
      <c r="AC319" s="58"/>
      <c r="AD319" s="437"/>
      <c r="AE319" s="58"/>
      <c r="AF319" s="58"/>
      <c r="AG319" s="58"/>
      <c r="AH319" s="58"/>
      <c r="AI319" s="58"/>
      <c r="AJ319" s="58"/>
      <c r="AK319" s="56"/>
      <c r="AL319" s="56"/>
    </row>
    <row r="320" spans="1:38" x14ac:dyDescent="0.15">
      <c r="A320" s="261" t="s">
        <v>114</v>
      </c>
      <c r="B320" s="58"/>
      <c r="C320" s="58"/>
      <c r="D320" s="58"/>
      <c r="E320" s="58"/>
      <c r="F320" s="58"/>
      <c r="G320" s="58"/>
      <c r="H320" s="437"/>
      <c r="I320" s="58"/>
      <c r="J320" s="58"/>
      <c r="K320" s="58"/>
      <c r="L320" s="58"/>
      <c r="M320" s="58"/>
      <c r="N320" s="58"/>
      <c r="O320" s="437"/>
      <c r="P320" s="58"/>
      <c r="Q320" s="58"/>
      <c r="R320" s="58"/>
      <c r="S320" s="58"/>
      <c r="T320" s="58"/>
      <c r="U320" s="58"/>
      <c r="V320" s="437"/>
      <c r="W320" s="58"/>
      <c r="X320" s="58"/>
      <c r="Y320" s="58"/>
      <c r="Z320" s="58"/>
      <c r="AA320" s="58"/>
      <c r="AB320" s="58"/>
      <c r="AC320" s="58"/>
      <c r="AD320" s="437"/>
      <c r="AE320" s="58"/>
      <c r="AF320" s="58"/>
      <c r="AG320" s="58"/>
      <c r="AH320" s="58"/>
      <c r="AI320" s="58"/>
      <c r="AJ320" s="58"/>
    </row>
    <row r="321" spans="1:38" x14ac:dyDescent="0.15">
      <c r="A321" s="261" t="s">
        <v>106</v>
      </c>
      <c r="B321" s="56">
        <f>(SUMPRODUCT(B$8:B$217,Nutrients!$EK$8:$EK$217)+(IF($A$6=Nutrients!$B$8,Nutrients!$EK$8,Nutrients!$EK$9)*B$6)+(((IF($A$7=Nutrients!$B$79,Nutrients!$EK$79,(IF($A$7=Nutrients!$B$77,Nutrients!$EK$77,Nutrients!$EK$78)))))*B$7))/2000*1000000</f>
        <v>110.11950000000002</v>
      </c>
      <c r="C321" s="56">
        <f>(SUMPRODUCT(C$8:C$217,Nutrients!$EK$8:$EK$217)+(IF($A$6=Nutrients!$B$8,Nutrients!$EK$8,Nutrients!$EK$9)*C$6)+(((IF($A$7=Nutrients!$B$79,Nutrients!$EK$79,(IF($A$7=Nutrients!$B$77,Nutrients!$EK$77,Nutrients!$EK$78)))))*C$7))/2000*1000000</f>
        <v>110.11950000000002</v>
      </c>
      <c r="D321" s="56">
        <f>(SUMPRODUCT(D$8:D$217,Nutrients!$EK$8:$EK$217)+(IF($A$6=Nutrients!$B$8,Nutrients!$EK$8,Nutrients!$EK$9)*D$6)+(((IF($A$7=Nutrients!$B$79,Nutrients!$EK$79,(IF($A$7=Nutrients!$B$77,Nutrients!$EK$77,Nutrients!$EK$78)))))*D$7))/2000*1000000</f>
        <v>110.11950000000002</v>
      </c>
      <c r="E321" s="56">
        <f>(SUMPRODUCT(E$8:E$217,Nutrients!$EK$8:$EK$217)+(IF($A$6=Nutrients!$B$8,Nutrients!$EK$8,Nutrients!$EK$9)*E$6)+(((IF($A$7=Nutrients!$B$79,Nutrients!$EK$79,(IF($A$7=Nutrients!$B$77,Nutrients!$EK$77,Nutrients!$EK$78)))))*E$7))/2000*1000000</f>
        <v>110.11950000000002</v>
      </c>
      <c r="F321" s="56">
        <f>(SUMPRODUCT(F$8:F$217,Nutrients!$EK$8:$EK$217)+(IF($A$6=Nutrients!$B$8,Nutrients!$EK$8,Nutrients!$EK$9)*F$6)+(((IF($A$7=Nutrients!$B$79,Nutrients!$EK$79,(IF($A$7=Nutrients!$B$77,Nutrients!$EK$77,Nutrients!$EK$78)))))*F$7))/2000*1000000</f>
        <v>110.11950000000002</v>
      </c>
      <c r="G321" s="56">
        <f>(SUMPRODUCT(G$8:G$217,Nutrients!$EK$8:$EK$217)+(IF($A$6=Nutrients!$B$8,Nutrients!$EK$8,Nutrients!$EK$9)*G$6)+(((IF($A$7=Nutrients!$B$79,Nutrients!$EK$79,(IF($A$7=Nutrients!$B$77,Nutrients!$EK$77,Nutrients!$EK$78)))))*G$7))/2000*1000000</f>
        <v>110.11950000000002</v>
      </c>
      <c r="H321" s="436"/>
      <c r="I321" s="56">
        <f>(SUMPRODUCT(I$8:I$217,Nutrients!$EK$8:$EK$217)+(IF($A$6=Nutrients!$B$8,Nutrients!$EK$8,Nutrients!$EK$9)*I$6)+(((IF($A$7=Nutrients!$B$79,Nutrients!$EK$79,(IF($A$7=Nutrients!$B$77,Nutrients!$EK$77,Nutrients!$EK$78)))))*I$7))/2000*1000000</f>
        <v>110.11950000000002</v>
      </c>
      <c r="J321" s="56">
        <f>(SUMPRODUCT(J$8:J$217,Nutrients!$EK$8:$EK$217)+(IF($A$6=Nutrients!$B$8,Nutrients!$EK$8,Nutrients!$EK$9)*J$6)+(((IF($A$7=Nutrients!$B$79,Nutrients!$EK$79,(IF($A$7=Nutrients!$B$77,Nutrients!$EK$77,Nutrients!$EK$78)))))*J$7))/2000*1000000</f>
        <v>110.11950000000002</v>
      </c>
      <c r="K321" s="56">
        <f>(SUMPRODUCT(K$8:K$217,Nutrients!$EK$8:$EK$217)+(IF($A$6=Nutrients!$B$8,Nutrients!$EK$8,Nutrients!$EK$9)*K$6)+(((IF($A$7=Nutrients!$B$79,Nutrients!$EK$79,(IF($A$7=Nutrients!$B$77,Nutrients!$EK$77,Nutrients!$EK$78)))))*K$7))/2000*1000000</f>
        <v>110.11950000000002</v>
      </c>
      <c r="L321" s="56">
        <f>(SUMPRODUCT(L$8:L$217,Nutrients!$EK$8:$EK$217)+(IF($A$6=Nutrients!$B$8,Nutrients!$EK$8,Nutrients!$EK$9)*L$6)+(((IF($A$7=Nutrients!$B$79,Nutrients!$EK$79,(IF($A$7=Nutrients!$B$77,Nutrients!$EK$77,Nutrients!$EK$78)))))*L$7))/2000*1000000</f>
        <v>110.11950000000002</v>
      </c>
      <c r="M321" s="56">
        <f>(SUMPRODUCT(M$8:M$217,Nutrients!$EK$8:$EK$217)+(IF($A$6=Nutrients!$B$8,Nutrients!$EK$8,Nutrients!$EK$9)*M$6)+(((IF($A$7=Nutrients!$B$79,Nutrients!$EK$79,(IF($A$7=Nutrients!$B$77,Nutrients!$EK$77,Nutrients!$EK$78)))))*M$7))/2000*1000000</f>
        <v>110.11950000000002</v>
      </c>
      <c r="N321" s="56">
        <f>(SUMPRODUCT(N$8:N$217,Nutrients!$EK$8:$EK$217)+(IF($A$6=Nutrients!$B$8,Nutrients!$EK$8,Nutrients!$EK$9)*N$6)+(((IF($A$7=Nutrients!$B$79,Nutrients!$EK$79,(IF($A$7=Nutrients!$B$77,Nutrients!$EK$77,Nutrients!$EK$78)))))*N$7))/2000*1000000</f>
        <v>110.11950000000002</v>
      </c>
      <c r="O321" s="436"/>
      <c r="P321" s="56">
        <f>(SUMPRODUCT(P$8:P$217,Nutrients!$EK$8:$EK$217)+(IF($A$6=Nutrients!$B$8,Nutrients!$EK$8,Nutrients!$EK$9)*P$6)+(((IF($A$7=Nutrients!$B$79,Nutrients!$EK$79,(IF($A$7=Nutrients!$B$77,Nutrients!$EK$77,Nutrients!$EK$78)))))*P$7))/2000*1000000</f>
        <v>73.413000000000011</v>
      </c>
      <c r="Q321" s="56">
        <f>(SUMPRODUCT(Q$8:Q$217,Nutrients!$EK$8:$EK$217)+(IF($A$6=Nutrients!$B$8,Nutrients!$EK$8,Nutrients!$EK$9)*Q$6)+(((IF($A$7=Nutrients!$B$79,Nutrients!$EK$79,(IF($A$7=Nutrients!$B$77,Nutrients!$EK$77,Nutrients!$EK$78)))))*Q$7))/2000*1000000</f>
        <v>73.413000000000011</v>
      </c>
      <c r="R321" s="56">
        <f>(SUMPRODUCT(R$8:R$217,Nutrients!$EK$8:$EK$217)+(IF($A$6=Nutrients!$B$8,Nutrients!$EK$8,Nutrients!$EK$9)*R$6)+(((IF($A$7=Nutrients!$B$79,Nutrients!$EK$79,(IF($A$7=Nutrients!$B$77,Nutrients!$EK$77,Nutrients!$EK$78)))))*R$7))/2000*1000000</f>
        <v>73.413000000000011</v>
      </c>
      <c r="S321" s="56">
        <f>(SUMPRODUCT(S$8:S$217,Nutrients!$EK$8:$EK$217)+(IF($A$6=Nutrients!$B$8,Nutrients!$EK$8,Nutrients!$EK$9)*S$6)+(((IF($A$7=Nutrients!$B$79,Nutrients!$EK$79,(IF($A$7=Nutrients!$B$77,Nutrients!$EK$77,Nutrients!$EK$78)))))*S$7))/2000*1000000</f>
        <v>73.413000000000011</v>
      </c>
      <c r="T321" s="56">
        <f>(SUMPRODUCT(T$8:T$217,Nutrients!$EK$8:$EK$217)+(IF($A$6=Nutrients!$B$8,Nutrients!$EK$8,Nutrients!$EK$9)*T$6)+(((IF($A$7=Nutrients!$B$79,Nutrients!$EK$79,(IF($A$7=Nutrients!$B$77,Nutrients!$EK$77,Nutrients!$EK$78)))))*T$7))/2000*1000000</f>
        <v>73.413000000000011</v>
      </c>
      <c r="U321" s="56">
        <f>(SUMPRODUCT(U$8:U$217,Nutrients!$EK$8:$EK$217)+(IF($A$6=Nutrients!$B$8,Nutrients!$EK$8,Nutrients!$EK$9)*U$6)+(((IF($A$7=Nutrients!$B$79,Nutrients!$EK$79,(IF($A$7=Nutrients!$B$77,Nutrients!$EK$77,Nutrients!$EK$78)))))*U$7))/2000*1000000</f>
        <v>73.413000000000011</v>
      </c>
      <c r="V321" s="436"/>
      <c r="W321" s="56">
        <f>(SUMPRODUCT(W$8:W$217,Nutrients!$EK$8:$EK$217)+(IF($A$6=Nutrients!$B$8,Nutrients!$EK$8,Nutrients!$EK$9)*W$6)+(((IF($A$7=Nutrients!$B$79,Nutrients!$EK$79,(IF($A$7=Nutrients!$B$77,Nutrients!$EK$77,Nutrients!$EK$78)))))*W$7))/2000*1000000</f>
        <v>73.413000000000011</v>
      </c>
      <c r="X321" s="56">
        <f>(SUMPRODUCT(X$8:X$217,Nutrients!$EK$8:$EK$217)+(IF($A$6=Nutrients!$B$8,Nutrients!$EK$8,Nutrients!$EK$9)*X$6)+(((IF($A$7=Nutrients!$B$79,Nutrients!$EK$79,(IF($A$7=Nutrients!$B$77,Nutrients!$EK$77,Nutrients!$EK$78)))))*X$7))/2000*1000000</f>
        <v>73.413000000000011</v>
      </c>
      <c r="Y321" s="56">
        <f>(SUMPRODUCT(Y$8:Y$217,Nutrients!$EK$8:$EK$217)+(IF($A$6=Nutrients!$B$8,Nutrients!$EK$8,Nutrients!$EK$9)*Y$6)+(((IF($A$7=Nutrients!$B$79,Nutrients!$EK$79,(IF($A$7=Nutrients!$B$77,Nutrients!$EK$77,Nutrients!$EK$78)))))*Y$7))/2000*1000000</f>
        <v>73.413000000000011</v>
      </c>
      <c r="Z321" s="56">
        <f>(SUMPRODUCT(Z$8:Z$217,Nutrients!$EK$8:$EK$217)+(IF($A$6=Nutrients!$B$8,Nutrients!$EK$8,Nutrients!$EK$9)*Z$6)+(((IF($A$7=Nutrients!$B$79,Nutrients!$EK$79,(IF($A$7=Nutrients!$B$77,Nutrients!$EK$77,Nutrients!$EK$78)))))*Z$7))/2000*1000000</f>
        <v>73.413000000000011</v>
      </c>
      <c r="AA321" s="56">
        <f>(SUMPRODUCT(AA$8:AA$217,Nutrients!$EK$8:$EK$217)+(IF($A$6=Nutrients!$B$8,Nutrients!$EK$8,Nutrients!$EK$9)*AA$6)+(((IF($A$7=Nutrients!$B$79,Nutrients!$EK$79,(IF($A$7=Nutrients!$B$77,Nutrients!$EK$77,Nutrients!$EK$78)))))*AA$7))/2000*1000000</f>
        <v>73.413000000000011</v>
      </c>
      <c r="AB321" s="56">
        <f>(SUMPRODUCT(AB$8:AB$217,Nutrients!$EK$8:$EK$217)+(IF($A$6=Nutrients!$B$8,Nutrients!$EK$8,Nutrients!$EK$9)*AB$6)+(((IF($A$7=Nutrients!$B$79,Nutrients!$EK$79,(IF($A$7=Nutrients!$B$77,Nutrients!$EK$77,Nutrients!$EK$78)))))*AB$7))/2000*1000000</f>
        <v>73.413000000000011</v>
      </c>
      <c r="AC321" s="56">
        <f>(SUMPRODUCT(AC$8:AC$217,Nutrients!$EK$8:$EK$217)+(IF($A$6=Nutrients!$B$8,Nutrients!$EK$8,Nutrients!$EK$9)*AC$6)+(((IF($A$7=Nutrients!$B$79,Nutrients!$EK$79,(IF($A$7=Nutrients!$B$77,Nutrients!$EK$77,Nutrients!$EK$78)))))*AC$7))/2000*1000000</f>
        <v>73.413000000000011</v>
      </c>
      <c r="AD321" s="436"/>
      <c r="AE321" s="56">
        <f>(SUMPRODUCT(AE$8:AE$217,Nutrients!$EK$8:$EK$217)+(IF($A$6=Nutrients!$B$8,Nutrients!$EK$8,Nutrients!$EK$9)*AE$6)+(((IF($A$7=Nutrients!$B$79,Nutrients!$EK$79,(IF($A$7=Nutrients!$B$77,Nutrients!$EK$77,Nutrients!$EK$78)))))*AE$7))/2000*1000000</f>
        <v>73.413000000000011</v>
      </c>
      <c r="AF321" s="56">
        <f>(SUMPRODUCT(AF$8:AF$217,Nutrients!$EK$8:$EK$217)+(IF($A$6=Nutrients!$B$8,Nutrients!$EK$8,Nutrients!$EK$9)*AF$6)+(((IF($A$7=Nutrients!$B$79,Nutrients!$EK$79,(IF($A$7=Nutrients!$B$77,Nutrients!$EK$77,Nutrients!$EK$78)))))*AF$7))/2000*1000000</f>
        <v>73.413000000000011</v>
      </c>
      <c r="AG321" s="56">
        <f>(SUMPRODUCT(AG$8:AG$217,Nutrients!$EK$8:$EK$217)+(IF($A$6=Nutrients!$B$8,Nutrients!$EK$8,Nutrients!$EK$9)*AG$6)+(((IF($A$7=Nutrients!$B$79,Nutrients!$EK$79,(IF($A$7=Nutrients!$B$77,Nutrients!$EK$77,Nutrients!$EK$78)))))*AG$7))/2000*1000000</f>
        <v>73.413000000000011</v>
      </c>
      <c r="AH321" s="56">
        <f>(SUMPRODUCT(AH$8:AH$217,Nutrients!$EK$8:$EK$217)+(IF($A$6=Nutrients!$B$8,Nutrients!$EK$8,Nutrients!$EK$9)*AH$6)+(((IF($A$7=Nutrients!$B$79,Nutrients!$EK$79,(IF($A$7=Nutrients!$B$77,Nutrients!$EK$77,Nutrients!$EK$78)))))*AH$7))/2000*1000000</f>
        <v>73.413000000000011</v>
      </c>
      <c r="AI321" s="56">
        <f>(SUMPRODUCT(AI$8:AI$217,Nutrients!$EK$8:$EK$217)+(IF($A$6=Nutrients!$B$8,Nutrients!$EK$8,Nutrients!$EK$9)*AI$6)+(((IF($A$7=Nutrients!$B$79,Nutrients!$EK$79,(IF($A$7=Nutrients!$B$77,Nutrients!$EK$77,Nutrients!$EK$78)))))*AI$7))/2000*1000000</f>
        <v>73.413000000000011</v>
      </c>
      <c r="AJ321" s="56">
        <f>(SUMPRODUCT(AJ$8:AJ$217,Nutrients!$EK$8:$EK$217)+(IF($A$6=Nutrients!$B$8,Nutrients!$EK$8,Nutrients!$EK$9)*AJ$6)+(((IF($A$7=Nutrients!$B$79,Nutrients!$EK$79,(IF($A$7=Nutrients!$B$77,Nutrients!$EK$77,Nutrients!$EK$78)))))*AJ$7))/2000*1000000</f>
        <v>73.413000000000011</v>
      </c>
    </row>
    <row r="322" spans="1:38" x14ac:dyDescent="0.15">
      <c r="A322" s="261" t="s">
        <v>107</v>
      </c>
      <c r="B322" s="56">
        <f>(SUMPRODUCT(B$8:B$217,Nutrients!$EL$8:$EL$217)+(IF($A$6=Nutrients!$B$8,Nutrients!$EL$8,Nutrients!$EL$9)*B$6)+(((IF($A$7=Nutrients!$B$79,Nutrients!$EL$79,(IF($A$7=Nutrients!$B$77,Nutrients!$EL$77,Nutrients!$EL$78)))))*B$7))/2000*1000000</f>
        <v>110.11950000000002</v>
      </c>
      <c r="C322" s="56">
        <f>(SUMPRODUCT(C$8:C$217,Nutrients!$EL$8:$EL$217)+(IF($A$6=Nutrients!$B$8,Nutrients!$EL$8,Nutrients!$EL$9)*C$6)+(((IF($A$7=Nutrients!$B$79,Nutrients!$EL$79,(IF($A$7=Nutrients!$B$77,Nutrients!$EL$77,Nutrients!$EL$78)))))*C$7))/2000*1000000</f>
        <v>110.11950000000002</v>
      </c>
      <c r="D322" s="56">
        <f>(SUMPRODUCT(D$8:D$217,Nutrients!$EL$8:$EL$217)+(IF($A$6=Nutrients!$B$8,Nutrients!$EL$8,Nutrients!$EL$9)*D$6)+(((IF($A$7=Nutrients!$B$79,Nutrients!$EL$79,(IF($A$7=Nutrients!$B$77,Nutrients!$EL$77,Nutrients!$EL$78)))))*D$7))/2000*1000000</f>
        <v>110.11950000000002</v>
      </c>
      <c r="E322" s="56">
        <f>(SUMPRODUCT(E$8:E$217,Nutrients!$EL$8:$EL$217)+(IF($A$6=Nutrients!$B$8,Nutrients!$EL$8,Nutrients!$EL$9)*E$6)+(((IF($A$7=Nutrients!$B$79,Nutrients!$EL$79,(IF($A$7=Nutrients!$B$77,Nutrients!$EL$77,Nutrients!$EL$78)))))*E$7))/2000*1000000</f>
        <v>110.11950000000002</v>
      </c>
      <c r="F322" s="56">
        <f>(SUMPRODUCT(F$8:F$217,Nutrients!$EL$8:$EL$217)+(IF($A$6=Nutrients!$B$8,Nutrients!$EL$8,Nutrients!$EL$9)*F$6)+(((IF($A$7=Nutrients!$B$79,Nutrients!$EL$79,(IF($A$7=Nutrients!$B$77,Nutrients!$EL$77,Nutrients!$EL$78)))))*F$7))/2000*1000000</f>
        <v>110.11950000000002</v>
      </c>
      <c r="G322" s="56">
        <f>(SUMPRODUCT(G$8:G$217,Nutrients!$EL$8:$EL$217)+(IF($A$6=Nutrients!$B$8,Nutrients!$EL$8,Nutrients!$EL$9)*G$6)+(((IF($A$7=Nutrients!$B$79,Nutrients!$EL$79,(IF($A$7=Nutrients!$B$77,Nutrients!$EL$77,Nutrients!$EL$78)))))*G$7))/2000*1000000</f>
        <v>110.11950000000002</v>
      </c>
      <c r="H322" s="436"/>
      <c r="I322" s="56">
        <f>(SUMPRODUCT(I$8:I$217,Nutrients!$EL$8:$EL$217)+(IF($A$6=Nutrients!$B$8,Nutrients!$EL$8,Nutrients!$EL$9)*I$6)+(((IF($A$7=Nutrients!$B$79,Nutrients!$EL$79,(IF($A$7=Nutrients!$B$77,Nutrients!$EL$77,Nutrients!$EL$78)))))*I$7))/2000*1000000</f>
        <v>110.11950000000002</v>
      </c>
      <c r="J322" s="56">
        <f>(SUMPRODUCT(J$8:J$217,Nutrients!$EL$8:$EL$217)+(IF($A$6=Nutrients!$B$8,Nutrients!$EL$8,Nutrients!$EL$9)*J$6)+(((IF($A$7=Nutrients!$B$79,Nutrients!$EL$79,(IF($A$7=Nutrients!$B$77,Nutrients!$EL$77,Nutrients!$EL$78)))))*J$7))/2000*1000000</f>
        <v>110.11950000000002</v>
      </c>
      <c r="K322" s="56">
        <f>(SUMPRODUCT(K$8:K$217,Nutrients!$EL$8:$EL$217)+(IF($A$6=Nutrients!$B$8,Nutrients!$EL$8,Nutrients!$EL$9)*K$6)+(((IF($A$7=Nutrients!$B$79,Nutrients!$EL$79,(IF($A$7=Nutrients!$B$77,Nutrients!$EL$77,Nutrients!$EL$78)))))*K$7))/2000*1000000</f>
        <v>110.11950000000002</v>
      </c>
      <c r="L322" s="56">
        <f>(SUMPRODUCT(L$8:L$217,Nutrients!$EL$8:$EL$217)+(IF($A$6=Nutrients!$B$8,Nutrients!$EL$8,Nutrients!$EL$9)*L$6)+(((IF($A$7=Nutrients!$B$79,Nutrients!$EL$79,(IF($A$7=Nutrients!$B$77,Nutrients!$EL$77,Nutrients!$EL$78)))))*L$7))/2000*1000000</f>
        <v>110.11950000000002</v>
      </c>
      <c r="M322" s="56">
        <f>(SUMPRODUCT(M$8:M$217,Nutrients!$EL$8:$EL$217)+(IF($A$6=Nutrients!$B$8,Nutrients!$EL$8,Nutrients!$EL$9)*M$6)+(((IF($A$7=Nutrients!$B$79,Nutrients!$EL$79,(IF($A$7=Nutrients!$B$77,Nutrients!$EL$77,Nutrients!$EL$78)))))*M$7))/2000*1000000</f>
        <v>110.11950000000002</v>
      </c>
      <c r="N322" s="56">
        <f>(SUMPRODUCT(N$8:N$217,Nutrients!$EL$8:$EL$217)+(IF($A$6=Nutrients!$B$8,Nutrients!$EL$8,Nutrients!$EL$9)*N$6)+(((IF($A$7=Nutrients!$B$79,Nutrients!$EL$79,(IF($A$7=Nutrients!$B$77,Nutrients!$EL$77,Nutrients!$EL$78)))))*N$7))/2000*1000000</f>
        <v>110.11950000000002</v>
      </c>
      <c r="O322" s="436"/>
      <c r="P322" s="56">
        <f>(SUMPRODUCT(P$8:P$217,Nutrients!$EL$8:$EL$217)+(IF($A$6=Nutrients!$B$8,Nutrients!$EL$8,Nutrients!$EL$9)*P$6)+(((IF($A$7=Nutrients!$B$79,Nutrients!$EL$79,(IF($A$7=Nutrients!$B$77,Nutrients!$EL$77,Nutrients!$EL$78)))))*P$7))/2000*1000000</f>
        <v>73.413000000000011</v>
      </c>
      <c r="Q322" s="56">
        <f>(SUMPRODUCT(Q$8:Q$217,Nutrients!$EL$8:$EL$217)+(IF($A$6=Nutrients!$B$8,Nutrients!$EL$8,Nutrients!$EL$9)*Q$6)+(((IF($A$7=Nutrients!$B$79,Nutrients!$EL$79,(IF($A$7=Nutrients!$B$77,Nutrients!$EL$77,Nutrients!$EL$78)))))*Q$7))/2000*1000000</f>
        <v>73.413000000000011</v>
      </c>
      <c r="R322" s="56">
        <f>(SUMPRODUCT(R$8:R$217,Nutrients!$EL$8:$EL$217)+(IF($A$6=Nutrients!$B$8,Nutrients!$EL$8,Nutrients!$EL$9)*R$6)+(((IF($A$7=Nutrients!$B$79,Nutrients!$EL$79,(IF($A$7=Nutrients!$B$77,Nutrients!$EL$77,Nutrients!$EL$78)))))*R$7))/2000*1000000</f>
        <v>73.413000000000011</v>
      </c>
      <c r="S322" s="56">
        <f>(SUMPRODUCT(S$8:S$217,Nutrients!$EL$8:$EL$217)+(IF($A$6=Nutrients!$B$8,Nutrients!$EL$8,Nutrients!$EL$9)*S$6)+(((IF($A$7=Nutrients!$B$79,Nutrients!$EL$79,(IF($A$7=Nutrients!$B$77,Nutrients!$EL$77,Nutrients!$EL$78)))))*S$7))/2000*1000000</f>
        <v>73.413000000000011</v>
      </c>
      <c r="T322" s="56">
        <f>(SUMPRODUCT(T$8:T$217,Nutrients!$EL$8:$EL$217)+(IF($A$6=Nutrients!$B$8,Nutrients!$EL$8,Nutrients!$EL$9)*T$6)+(((IF($A$7=Nutrients!$B$79,Nutrients!$EL$79,(IF($A$7=Nutrients!$B$77,Nutrients!$EL$77,Nutrients!$EL$78)))))*T$7))/2000*1000000</f>
        <v>73.413000000000011</v>
      </c>
      <c r="U322" s="56">
        <f>(SUMPRODUCT(U$8:U$217,Nutrients!$EL$8:$EL$217)+(IF($A$6=Nutrients!$B$8,Nutrients!$EL$8,Nutrients!$EL$9)*U$6)+(((IF($A$7=Nutrients!$B$79,Nutrients!$EL$79,(IF($A$7=Nutrients!$B$77,Nutrients!$EL$77,Nutrients!$EL$78)))))*U$7))/2000*1000000</f>
        <v>73.413000000000011</v>
      </c>
      <c r="V322" s="436"/>
      <c r="W322" s="56">
        <f>(SUMPRODUCT(W$8:W$217,Nutrients!$EL$8:$EL$217)+(IF($A$6=Nutrients!$B$8,Nutrients!$EL$8,Nutrients!$EL$9)*W$6)+(((IF($A$7=Nutrients!$B$79,Nutrients!$EL$79,(IF($A$7=Nutrients!$B$77,Nutrients!$EL$77,Nutrients!$EL$78)))))*W$7))/2000*1000000</f>
        <v>73.413000000000011</v>
      </c>
      <c r="X322" s="56">
        <f>(SUMPRODUCT(X$8:X$217,Nutrients!$EL$8:$EL$217)+(IF($A$6=Nutrients!$B$8,Nutrients!$EL$8,Nutrients!$EL$9)*X$6)+(((IF($A$7=Nutrients!$B$79,Nutrients!$EL$79,(IF($A$7=Nutrients!$B$77,Nutrients!$EL$77,Nutrients!$EL$78)))))*X$7))/2000*1000000</f>
        <v>73.413000000000011</v>
      </c>
      <c r="Y322" s="56">
        <f>(SUMPRODUCT(Y$8:Y$217,Nutrients!$EL$8:$EL$217)+(IF($A$6=Nutrients!$B$8,Nutrients!$EL$8,Nutrients!$EL$9)*Y$6)+(((IF($A$7=Nutrients!$B$79,Nutrients!$EL$79,(IF($A$7=Nutrients!$B$77,Nutrients!$EL$77,Nutrients!$EL$78)))))*Y$7))/2000*1000000</f>
        <v>73.413000000000011</v>
      </c>
      <c r="Z322" s="56">
        <f>(SUMPRODUCT(Z$8:Z$217,Nutrients!$EL$8:$EL$217)+(IF($A$6=Nutrients!$B$8,Nutrients!$EL$8,Nutrients!$EL$9)*Z$6)+(((IF($A$7=Nutrients!$B$79,Nutrients!$EL$79,(IF($A$7=Nutrients!$B$77,Nutrients!$EL$77,Nutrients!$EL$78)))))*Z$7))/2000*1000000</f>
        <v>73.413000000000011</v>
      </c>
      <c r="AA322" s="56">
        <f>(SUMPRODUCT(AA$8:AA$217,Nutrients!$EL$8:$EL$217)+(IF($A$6=Nutrients!$B$8,Nutrients!$EL$8,Nutrients!$EL$9)*AA$6)+(((IF($A$7=Nutrients!$B$79,Nutrients!$EL$79,(IF($A$7=Nutrients!$B$77,Nutrients!$EL$77,Nutrients!$EL$78)))))*AA$7))/2000*1000000</f>
        <v>73.413000000000011</v>
      </c>
      <c r="AB322" s="56">
        <f>(SUMPRODUCT(AB$8:AB$217,Nutrients!$EL$8:$EL$217)+(IF($A$6=Nutrients!$B$8,Nutrients!$EL$8,Nutrients!$EL$9)*AB$6)+(((IF($A$7=Nutrients!$B$79,Nutrients!$EL$79,(IF($A$7=Nutrients!$B$77,Nutrients!$EL$77,Nutrients!$EL$78)))))*AB$7))/2000*1000000</f>
        <v>73.413000000000011</v>
      </c>
      <c r="AC322" s="56">
        <f>(SUMPRODUCT(AC$8:AC$217,Nutrients!$EL$8:$EL$217)+(IF($A$6=Nutrients!$B$8,Nutrients!$EL$8,Nutrients!$EL$9)*AC$6)+(((IF($A$7=Nutrients!$B$79,Nutrients!$EL$79,(IF($A$7=Nutrients!$B$77,Nutrients!$EL$77,Nutrients!$EL$78)))))*AC$7))/2000*1000000</f>
        <v>73.413000000000011</v>
      </c>
      <c r="AD322" s="436"/>
      <c r="AE322" s="56">
        <f>(SUMPRODUCT(AE$8:AE$217,Nutrients!$EL$8:$EL$217)+(IF($A$6=Nutrients!$B$8,Nutrients!$EL$8,Nutrients!$EL$9)*AE$6)+(((IF($A$7=Nutrients!$B$79,Nutrients!$EL$79,(IF($A$7=Nutrients!$B$77,Nutrients!$EL$77,Nutrients!$EL$78)))))*AE$7))/2000*1000000</f>
        <v>73.413000000000011</v>
      </c>
      <c r="AF322" s="56">
        <f>(SUMPRODUCT(AF$8:AF$217,Nutrients!$EL$8:$EL$217)+(IF($A$6=Nutrients!$B$8,Nutrients!$EL$8,Nutrients!$EL$9)*AF$6)+(((IF($A$7=Nutrients!$B$79,Nutrients!$EL$79,(IF($A$7=Nutrients!$B$77,Nutrients!$EL$77,Nutrients!$EL$78)))))*AF$7))/2000*1000000</f>
        <v>73.413000000000011</v>
      </c>
      <c r="AG322" s="56">
        <f>(SUMPRODUCT(AG$8:AG$217,Nutrients!$EL$8:$EL$217)+(IF($A$6=Nutrients!$B$8,Nutrients!$EL$8,Nutrients!$EL$9)*AG$6)+(((IF($A$7=Nutrients!$B$79,Nutrients!$EL$79,(IF($A$7=Nutrients!$B$77,Nutrients!$EL$77,Nutrients!$EL$78)))))*AG$7))/2000*1000000</f>
        <v>73.413000000000011</v>
      </c>
      <c r="AH322" s="56">
        <f>(SUMPRODUCT(AH$8:AH$217,Nutrients!$EL$8:$EL$217)+(IF($A$6=Nutrients!$B$8,Nutrients!$EL$8,Nutrients!$EL$9)*AH$6)+(((IF($A$7=Nutrients!$B$79,Nutrients!$EL$79,(IF($A$7=Nutrients!$B$77,Nutrients!$EL$77,Nutrients!$EL$78)))))*AH$7))/2000*1000000</f>
        <v>73.413000000000011</v>
      </c>
      <c r="AI322" s="56">
        <f>(SUMPRODUCT(AI$8:AI$217,Nutrients!$EL$8:$EL$217)+(IF($A$6=Nutrients!$B$8,Nutrients!$EL$8,Nutrients!$EL$9)*AI$6)+(((IF($A$7=Nutrients!$B$79,Nutrients!$EL$79,(IF($A$7=Nutrients!$B$77,Nutrients!$EL$77,Nutrients!$EL$78)))))*AI$7))/2000*1000000</f>
        <v>73.413000000000011</v>
      </c>
      <c r="AJ322" s="56">
        <f>(SUMPRODUCT(AJ$8:AJ$217,Nutrients!$EL$8:$EL$217)+(IF($A$6=Nutrients!$B$8,Nutrients!$EL$8,Nutrients!$EL$9)*AJ$6)+(((IF($A$7=Nutrients!$B$79,Nutrients!$EL$79,(IF($A$7=Nutrients!$B$77,Nutrients!$EL$77,Nutrients!$EL$78)))))*AJ$7))/2000*1000000</f>
        <v>73.413000000000011</v>
      </c>
    </row>
    <row r="323" spans="1:38" x14ac:dyDescent="0.15">
      <c r="A323" s="261" t="s">
        <v>108</v>
      </c>
      <c r="B323" s="56">
        <f>(SUMPRODUCT(B$8:B$217,Nutrients!$EM$8:$EM$217)+(IF($A$6=Nutrients!$B$8,Nutrients!$EM$8,Nutrients!$EM$9)*B$6)+(((IF($A$7=Nutrients!$B$79,Nutrients!$EM$79,(IF($A$7=Nutrients!$B$77,Nutrients!$EM$77,Nutrients!$EM$78)))))*B$7))/2000*1000000</f>
        <v>33.068999999999996</v>
      </c>
      <c r="C323" s="56">
        <f>(SUMPRODUCT(C$8:C$217,Nutrients!$EM$8:$EM$217)+(IF($A$6=Nutrients!$B$8,Nutrients!$EM$8,Nutrients!$EM$9)*C$6)+(((IF($A$7=Nutrients!$B$79,Nutrients!$EM$79,(IF($A$7=Nutrients!$B$77,Nutrients!$EM$77,Nutrients!$EM$78)))))*C$7))/2000*1000000</f>
        <v>33.068999999999996</v>
      </c>
      <c r="D323" s="56">
        <f>(SUMPRODUCT(D$8:D$217,Nutrients!$EM$8:$EM$217)+(IF($A$6=Nutrients!$B$8,Nutrients!$EM$8,Nutrients!$EM$9)*D$6)+(((IF($A$7=Nutrients!$B$79,Nutrients!$EM$79,(IF($A$7=Nutrients!$B$77,Nutrients!$EM$77,Nutrients!$EM$78)))))*D$7))/2000*1000000</f>
        <v>33.068999999999996</v>
      </c>
      <c r="E323" s="56">
        <f>(SUMPRODUCT(E$8:E$217,Nutrients!$EM$8:$EM$217)+(IF($A$6=Nutrients!$B$8,Nutrients!$EM$8,Nutrients!$EM$9)*E$6)+(((IF($A$7=Nutrients!$B$79,Nutrients!$EM$79,(IF($A$7=Nutrients!$B$77,Nutrients!$EM$77,Nutrients!$EM$78)))))*E$7))/2000*1000000</f>
        <v>33.068999999999996</v>
      </c>
      <c r="F323" s="56">
        <f>(SUMPRODUCT(F$8:F$217,Nutrients!$EM$8:$EM$217)+(IF($A$6=Nutrients!$B$8,Nutrients!$EM$8,Nutrients!$EM$9)*F$6)+(((IF($A$7=Nutrients!$B$79,Nutrients!$EM$79,(IF($A$7=Nutrients!$B$77,Nutrients!$EM$77,Nutrients!$EM$78)))))*F$7))/2000*1000000</f>
        <v>33.068999999999996</v>
      </c>
      <c r="G323" s="56">
        <f>(SUMPRODUCT(G$8:G$217,Nutrients!$EM$8:$EM$217)+(IF($A$6=Nutrients!$B$8,Nutrients!$EM$8,Nutrients!$EM$9)*G$6)+(((IF($A$7=Nutrients!$B$79,Nutrients!$EM$79,(IF($A$7=Nutrients!$B$77,Nutrients!$EM$77,Nutrients!$EM$78)))))*G$7))/2000*1000000</f>
        <v>33.068999999999996</v>
      </c>
      <c r="H323" s="436"/>
      <c r="I323" s="56">
        <f>(SUMPRODUCT(I$8:I$217,Nutrients!$EM$8:$EM$217)+(IF($A$6=Nutrients!$B$8,Nutrients!$EM$8,Nutrients!$EM$9)*I$6)+(((IF($A$7=Nutrients!$B$79,Nutrients!$EM$79,(IF($A$7=Nutrients!$B$77,Nutrients!$EM$77,Nutrients!$EM$78)))))*I$7))/2000*1000000</f>
        <v>33.068999999999996</v>
      </c>
      <c r="J323" s="56">
        <f>(SUMPRODUCT(J$8:J$217,Nutrients!$EM$8:$EM$217)+(IF($A$6=Nutrients!$B$8,Nutrients!$EM$8,Nutrients!$EM$9)*J$6)+(((IF($A$7=Nutrients!$B$79,Nutrients!$EM$79,(IF($A$7=Nutrients!$B$77,Nutrients!$EM$77,Nutrients!$EM$78)))))*J$7))/2000*1000000</f>
        <v>33.068999999999996</v>
      </c>
      <c r="K323" s="56">
        <f>(SUMPRODUCT(K$8:K$217,Nutrients!$EM$8:$EM$217)+(IF($A$6=Nutrients!$B$8,Nutrients!$EM$8,Nutrients!$EM$9)*K$6)+(((IF($A$7=Nutrients!$B$79,Nutrients!$EM$79,(IF($A$7=Nutrients!$B$77,Nutrients!$EM$77,Nutrients!$EM$78)))))*K$7))/2000*1000000</f>
        <v>33.068999999999996</v>
      </c>
      <c r="L323" s="56">
        <f>(SUMPRODUCT(L$8:L$217,Nutrients!$EM$8:$EM$217)+(IF($A$6=Nutrients!$B$8,Nutrients!$EM$8,Nutrients!$EM$9)*L$6)+(((IF($A$7=Nutrients!$B$79,Nutrients!$EM$79,(IF($A$7=Nutrients!$B$77,Nutrients!$EM$77,Nutrients!$EM$78)))))*L$7))/2000*1000000</f>
        <v>33.068999999999996</v>
      </c>
      <c r="M323" s="56">
        <f>(SUMPRODUCT(M$8:M$217,Nutrients!$EM$8:$EM$217)+(IF($A$6=Nutrients!$B$8,Nutrients!$EM$8,Nutrients!$EM$9)*M$6)+(((IF($A$7=Nutrients!$B$79,Nutrients!$EM$79,(IF($A$7=Nutrients!$B$77,Nutrients!$EM$77,Nutrients!$EM$78)))))*M$7))/2000*1000000</f>
        <v>33.068999999999996</v>
      </c>
      <c r="N323" s="56">
        <f>(SUMPRODUCT(N$8:N$217,Nutrients!$EM$8:$EM$217)+(IF($A$6=Nutrients!$B$8,Nutrients!$EM$8,Nutrients!$EM$9)*N$6)+(((IF($A$7=Nutrients!$B$79,Nutrients!$EM$79,(IF($A$7=Nutrients!$B$77,Nutrients!$EM$77,Nutrients!$EM$78)))))*N$7))/2000*1000000</f>
        <v>33.068999999999996</v>
      </c>
      <c r="O323" s="436"/>
      <c r="P323" s="56">
        <f>(SUMPRODUCT(P$8:P$217,Nutrients!$EM$8:$EM$217)+(IF($A$6=Nutrients!$B$8,Nutrients!$EM$8,Nutrients!$EM$9)*P$6)+(((IF($A$7=Nutrients!$B$79,Nutrients!$EM$79,(IF($A$7=Nutrients!$B$77,Nutrients!$EM$77,Nutrients!$EM$78)))))*P$7))/2000*1000000</f>
        <v>22.045999999999999</v>
      </c>
      <c r="Q323" s="56">
        <f>(SUMPRODUCT(Q$8:Q$217,Nutrients!$EM$8:$EM$217)+(IF($A$6=Nutrients!$B$8,Nutrients!$EM$8,Nutrients!$EM$9)*Q$6)+(((IF($A$7=Nutrients!$B$79,Nutrients!$EM$79,(IF($A$7=Nutrients!$B$77,Nutrients!$EM$77,Nutrients!$EM$78)))))*Q$7))/2000*1000000</f>
        <v>22.045999999999999</v>
      </c>
      <c r="R323" s="56">
        <f>(SUMPRODUCT(R$8:R$217,Nutrients!$EM$8:$EM$217)+(IF($A$6=Nutrients!$B$8,Nutrients!$EM$8,Nutrients!$EM$9)*R$6)+(((IF($A$7=Nutrients!$B$79,Nutrients!$EM$79,(IF($A$7=Nutrients!$B$77,Nutrients!$EM$77,Nutrients!$EM$78)))))*R$7))/2000*1000000</f>
        <v>22.045999999999999</v>
      </c>
      <c r="S323" s="56">
        <f>(SUMPRODUCT(S$8:S$217,Nutrients!$EM$8:$EM$217)+(IF($A$6=Nutrients!$B$8,Nutrients!$EM$8,Nutrients!$EM$9)*S$6)+(((IF($A$7=Nutrients!$B$79,Nutrients!$EM$79,(IF($A$7=Nutrients!$B$77,Nutrients!$EM$77,Nutrients!$EM$78)))))*S$7))/2000*1000000</f>
        <v>22.045999999999999</v>
      </c>
      <c r="T323" s="56">
        <f>(SUMPRODUCT(T$8:T$217,Nutrients!$EM$8:$EM$217)+(IF($A$6=Nutrients!$B$8,Nutrients!$EM$8,Nutrients!$EM$9)*T$6)+(((IF($A$7=Nutrients!$B$79,Nutrients!$EM$79,(IF($A$7=Nutrients!$B$77,Nutrients!$EM$77,Nutrients!$EM$78)))))*T$7))/2000*1000000</f>
        <v>22.045999999999999</v>
      </c>
      <c r="U323" s="56">
        <f>(SUMPRODUCT(U$8:U$217,Nutrients!$EM$8:$EM$217)+(IF($A$6=Nutrients!$B$8,Nutrients!$EM$8,Nutrients!$EM$9)*U$6)+(((IF($A$7=Nutrients!$B$79,Nutrients!$EM$79,(IF($A$7=Nutrients!$B$77,Nutrients!$EM$77,Nutrients!$EM$78)))))*U$7))/2000*1000000</f>
        <v>22.045999999999999</v>
      </c>
      <c r="V323" s="436"/>
      <c r="W323" s="56">
        <f>(SUMPRODUCT(W$8:W$217,Nutrients!$EM$8:$EM$217)+(IF($A$6=Nutrients!$B$8,Nutrients!$EM$8,Nutrients!$EM$9)*W$6)+(((IF($A$7=Nutrients!$B$79,Nutrients!$EM$79,(IF($A$7=Nutrients!$B$77,Nutrients!$EM$77,Nutrients!$EM$78)))))*W$7))/2000*1000000</f>
        <v>22.045999999999999</v>
      </c>
      <c r="X323" s="56">
        <f>(SUMPRODUCT(X$8:X$217,Nutrients!$EM$8:$EM$217)+(IF($A$6=Nutrients!$B$8,Nutrients!$EM$8,Nutrients!$EM$9)*X$6)+(((IF($A$7=Nutrients!$B$79,Nutrients!$EM$79,(IF($A$7=Nutrients!$B$77,Nutrients!$EM$77,Nutrients!$EM$78)))))*X$7))/2000*1000000</f>
        <v>22.045999999999999</v>
      </c>
      <c r="Y323" s="56">
        <f>(SUMPRODUCT(Y$8:Y$217,Nutrients!$EM$8:$EM$217)+(IF($A$6=Nutrients!$B$8,Nutrients!$EM$8,Nutrients!$EM$9)*Y$6)+(((IF($A$7=Nutrients!$B$79,Nutrients!$EM$79,(IF($A$7=Nutrients!$B$77,Nutrients!$EM$77,Nutrients!$EM$78)))))*Y$7))/2000*1000000</f>
        <v>22.045999999999999</v>
      </c>
      <c r="Z323" s="56">
        <f>(SUMPRODUCT(Z$8:Z$217,Nutrients!$EM$8:$EM$217)+(IF($A$6=Nutrients!$B$8,Nutrients!$EM$8,Nutrients!$EM$9)*Z$6)+(((IF($A$7=Nutrients!$B$79,Nutrients!$EM$79,(IF($A$7=Nutrients!$B$77,Nutrients!$EM$77,Nutrients!$EM$78)))))*Z$7))/2000*1000000</f>
        <v>22.045999999999999</v>
      </c>
      <c r="AA323" s="56">
        <f>(SUMPRODUCT(AA$8:AA$217,Nutrients!$EM$8:$EM$217)+(IF($A$6=Nutrients!$B$8,Nutrients!$EM$8,Nutrients!$EM$9)*AA$6)+(((IF($A$7=Nutrients!$B$79,Nutrients!$EM$79,(IF($A$7=Nutrients!$B$77,Nutrients!$EM$77,Nutrients!$EM$78)))))*AA$7))/2000*1000000</f>
        <v>22.045999999999999</v>
      </c>
      <c r="AB323" s="56">
        <f>(SUMPRODUCT(AB$8:AB$217,Nutrients!$EM$8:$EM$217)+(IF($A$6=Nutrients!$B$8,Nutrients!$EM$8,Nutrients!$EM$9)*AB$6)+(((IF($A$7=Nutrients!$B$79,Nutrients!$EM$79,(IF($A$7=Nutrients!$B$77,Nutrients!$EM$77,Nutrients!$EM$78)))))*AB$7))/2000*1000000</f>
        <v>22.045999999999999</v>
      </c>
      <c r="AC323" s="56">
        <f>(SUMPRODUCT(AC$8:AC$217,Nutrients!$EM$8:$EM$217)+(IF($A$6=Nutrients!$B$8,Nutrients!$EM$8,Nutrients!$EM$9)*AC$6)+(((IF($A$7=Nutrients!$B$79,Nutrients!$EM$79,(IF($A$7=Nutrients!$B$77,Nutrients!$EM$77,Nutrients!$EM$78)))))*AC$7))/2000*1000000</f>
        <v>22.045999999999999</v>
      </c>
      <c r="AD323" s="436"/>
      <c r="AE323" s="56">
        <f>(SUMPRODUCT(AE$8:AE$217,Nutrients!$EM$8:$EM$217)+(IF($A$6=Nutrients!$B$8,Nutrients!$EM$8,Nutrients!$EM$9)*AE$6)+(((IF($A$7=Nutrients!$B$79,Nutrients!$EM$79,(IF($A$7=Nutrients!$B$77,Nutrients!$EM$77,Nutrients!$EM$78)))))*AE$7))/2000*1000000</f>
        <v>22.045999999999999</v>
      </c>
      <c r="AF323" s="56">
        <f>(SUMPRODUCT(AF$8:AF$217,Nutrients!$EM$8:$EM$217)+(IF($A$6=Nutrients!$B$8,Nutrients!$EM$8,Nutrients!$EM$9)*AF$6)+(((IF($A$7=Nutrients!$B$79,Nutrients!$EM$79,(IF($A$7=Nutrients!$B$77,Nutrients!$EM$77,Nutrients!$EM$78)))))*AF$7))/2000*1000000</f>
        <v>22.045999999999999</v>
      </c>
      <c r="AG323" s="56">
        <f>(SUMPRODUCT(AG$8:AG$217,Nutrients!$EM$8:$EM$217)+(IF($A$6=Nutrients!$B$8,Nutrients!$EM$8,Nutrients!$EM$9)*AG$6)+(((IF($A$7=Nutrients!$B$79,Nutrients!$EM$79,(IF($A$7=Nutrients!$B$77,Nutrients!$EM$77,Nutrients!$EM$78)))))*AG$7))/2000*1000000</f>
        <v>22.045999999999999</v>
      </c>
      <c r="AH323" s="56">
        <f>(SUMPRODUCT(AH$8:AH$217,Nutrients!$EM$8:$EM$217)+(IF($A$6=Nutrients!$B$8,Nutrients!$EM$8,Nutrients!$EM$9)*AH$6)+(((IF($A$7=Nutrients!$B$79,Nutrients!$EM$79,(IF($A$7=Nutrients!$B$77,Nutrients!$EM$77,Nutrients!$EM$78)))))*AH$7))/2000*1000000</f>
        <v>22.045999999999999</v>
      </c>
      <c r="AI323" s="56">
        <f>(SUMPRODUCT(AI$8:AI$217,Nutrients!$EM$8:$EM$217)+(IF($A$6=Nutrients!$B$8,Nutrients!$EM$8,Nutrients!$EM$9)*AI$6)+(((IF($A$7=Nutrients!$B$79,Nutrients!$EM$79,(IF($A$7=Nutrients!$B$77,Nutrients!$EM$77,Nutrients!$EM$78)))))*AI$7))/2000*1000000</f>
        <v>22.045999999999999</v>
      </c>
      <c r="AJ323" s="56">
        <f>(SUMPRODUCT(AJ$8:AJ$217,Nutrients!$EM$8:$EM$217)+(IF($A$6=Nutrients!$B$8,Nutrients!$EM$8,Nutrients!$EM$9)*AJ$6)+(((IF($A$7=Nutrients!$B$79,Nutrients!$EM$79,(IF($A$7=Nutrients!$B$77,Nutrients!$EM$77,Nutrients!$EM$78)))))*AJ$7))/2000*1000000</f>
        <v>22.045999999999999</v>
      </c>
    </row>
    <row r="324" spans="1:38" x14ac:dyDescent="0.15">
      <c r="A324" s="261" t="s">
        <v>109</v>
      </c>
      <c r="B324" s="56">
        <f>(SUMPRODUCT(B$8:B$217,Nutrients!$EN$8:$EN$217)+(IF($A$6=Nutrients!$B$8,Nutrients!$EN$8,Nutrients!$EN$9)*B$6)+(((IF($A$7=Nutrients!$B$79,Nutrients!$EN$79,(IF($A$7=Nutrients!$B$77,Nutrients!$EN$77,Nutrients!$EN$78)))))*B$7))/2000*1000000</f>
        <v>16.519823788546255</v>
      </c>
      <c r="C324" s="56">
        <f>(SUMPRODUCT(C$8:C$217,Nutrients!$EN$8:$EN$217)+(IF($A$6=Nutrients!$B$8,Nutrients!$EN$8,Nutrients!$EN$9)*C$6)+(((IF($A$7=Nutrients!$B$79,Nutrients!$EN$79,(IF($A$7=Nutrients!$B$77,Nutrients!$EN$77,Nutrients!$EN$78)))))*C$7))/2000*1000000</f>
        <v>16.519823788546255</v>
      </c>
      <c r="D324" s="56">
        <f>(SUMPRODUCT(D$8:D$217,Nutrients!$EN$8:$EN$217)+(IF($A$6=Nutrients!$B$8,Nutrients!$EN$8,Nutrients!$EN$9)*D$6)+(((IF($A$7=Nutrients!$B$79,Nutrients!$EN$79,(IF($A$7=Nutrients!$B$77,Nutrients!$EN$77,Nutrients!$EN$78)))))*D$7))/2000*1000000</f>
        <v>16.519823788546255</v>
      </c>
      <c r="E324" s="56">
        <f>(SUMPRODUCT(E$8:E$217,Nutrients!$EN$8:$EN$217)+(IF($A$6=Nutrients!$B$8,Nutrients!$EN$8,Nutrients!$EN$9)*E$6)+(((IF($A$7=Nutrients!$B$79,Nutrients!$EN$79,(IF($A$7=Nutrients!$B$77,Nutrients!$EN$77,Nutrients!$EN$78)))))*E$7))/2000*1000000</f>
        <v>16.519823788546255</v>
      </c>
      <c r="F324" s="56">
        <f>(SUMPRODUCT(F$8:F$217,Nutrients!$EN$8:$EN$217)+(IF($A$6=Nutrients!$B$8,Nutrients!$EN$8,Nutrients!$EN$9)*F$6)+(((IF($A$7=Nutrients!$B$79,Nutrients!$EN$79,(IF($A$7=Nutrients!$B$77,Nutrients!$EN$77,Nutrients!$EN$78)))))*F$7))/2000*1000000</f>
        <v>16.519823788546255</v>
      </c>
      <c r="G324" s="56">
        <f>(SUMPRODUCT(G$8:G$217,Nutrients!$EN$8:$EN$217)+(IF($A$6=Nutrients!$B$8,Nutrients!$EN$8,Nutrients!$EN$9)*G$6)+(((IF($A$7=Nutrients!$B$79,Nutrients!$EN$79,(IF($A$7=Nutrients!$B$77,Nutrients!$EN$77,Nutrients!$EN$78)))))*G$7))/2000*1000000</f>
        <v>16.519823788546255</v>
      </c>
      <c r="H324" s="436"/>
      <c r="I324" s="56">
        <f>(SUMPRODUCT(I$8:I$217,Nutrients!$EN$8:$EN$217)+(IF($A$6=Nutrients!$B$8,Nutrients!$EN$8,Nutrients!$EN$9)*I$6)+(((IF($A$7=Nutrients!$B$79,Nutrients!$EN$79,(IF($A$7=Nutrients!$B$77,Nutrients!$EN$77,Nutrients!$EN$78)))))*I$7))/2000*1000000</f>
        <v>16.519823788546255</v>
      </c>
      <c r="J324" s="56">
        <f>(SUMPRODUCT(J$8:J$217,Nutrients!$EN$8:$EN$217)+(IF($A$6=Nutrients!$B$8,Nutrients!$EN$8,Nutrients!$EN$9)*J$6)+(((IF($A$7=Nutrients!$B$79,Nutrients!$EN$79,(IF($A$7=Nutrients!$B$77,Nutrients!$EN$77,Nutrients!$EN$78)))))*J$7))/2000*1000000</f>
        <v>16.519823788546255</v>
      </c>
      <c r="K324" s="56">
        <f>(SUMPRODUCT(K$8:K$217,Nutrients!$EN$8:$EN$217)+(IF($A$6=Nutrients!$B$8,Nutrients!$EN$8,Nutrients!$EN$9)*K$6)+(((IF($A$7=Nutrients!$B$79,Nutrients!$EN$79,(IF($A$7=Nutrients!$B$77,Nutrients!$EN$77,Nutrients!$EN$78)))))*K$7))/2000*1000000</f>
        <v>16.519823788546255</v>
      </c>
      <c r="L324" s="56">
        <f>(SUMPRODUCT(L$8:L$217,Nutrients!$EN$8:$EN$217)+(IF($A$6=Nutrients!$B$8,Nutrients!$EN$8,Nutrients!$EN$9)*L$6)+(((IF($A$7=Nutrients!$B$79,Nutrients!$EN$79,(IF($A$7=Nutrients!$B$77,Nutrients!$EN$77,Nutrients!$EN$78)))))*L$7))/2000*1000000</f>
        <v>16.519823788546255</v>
      </c>
      <c r="M324" s="56">
        <f>(SUMPRODUCT(M$8:M$217,Nutrients!$EN$8:$EN$217)+(IF($A$6=Nutrients!$B$8,Nutrients!$EN$8,Nutrients!$EN$9)*M$6)+(((IF($A$7=Nutrients!$B$79,Nutrients!$EN$79,(IF($A$7=Nutrients!$B$77,Nutrients!$EN$77,Nutrients!$EN$78)))))*M$7))/2000*1000000</f>
        <v>16.519823788546255</v>
      </c>
      <c r="N324" s="56">
        <f>(SUMPRODUCT(N$8:N$217,Nutrients!$EN$8:$EN$217)+(IF($A$6=Nutrients!$B$8,Nutrients!$EN$8,Nutrients!$EN$9)*N$6)+(((IF($A$7=Nutrients!$B$79,Nutrients!$EN$79,(IF($A$7=Nutrients!$B$77,Nutrients!$EN$77,Nutrients!$EN$78)))))*N$7))/2000*1000000</f>
        <v>16.519823788546255</v>
      </c>
      <c r="O324" s="436"/>
      <c r="P324" s="56">
        <f>(SUMPRODUCT(P$8:P$217,Nutrients!$EN$8:$EN$217)+(IF($A$6=Nutrients!$B$8,Nutrients!$EN$8,Nutrients!$EN$9)*P$6)+(((IF($A$7=Nutrients!$B$79,Nutrients!$EN$79,(IF($A$7=Nutrients!$B$77,Nutrients!$EN$77,Nutrients!$EN$78)))))*P$7))/2000*1000000</f>
        <v>11.013215859030838</v>
      </c>
      <c r="Q324" s="56">
        <f>(SUMPRODUCT(Q$8:Q$217,Nutrients!$EN$8:$EN$217)+(IF($A$6=Nutrients!$B$8,Nutrients!$EN$8,Nutrients!$EN$9)*Q$6)+(((IF($A$7=Nutrients!$B$79,Nutrients!$EN$79,(IF($A$7=Nutrients!$B$77,Nutrients!$EN$77,Nutrients!$EN$78)))))*Q$7))/2000*1000000</f>
        <v>11.013215859030838</v>
      </c>
      <c r="R324" s="56">
        <f>(SUMPRODUCT(R$8:R$217,Nutrients!$EN$8:$EN$217)+(IF($A$6=Nutrients!$B$8,Nutrients!$EN$8,Nutrients!$EN$9)*R$6)+(((IF($A$7=Nutrients!$B$79,Nutrients!$EN$79,(IF($A$7=Nutrients!$B$77,Nutrients!$EN$77,Nutrients!$EN$78)))))*R$7))/2000*1000000</f>
        <v>11.013215859030838</v>
      </c>
      <c r="S324" s="56">
        <f>(SUMPRODUCT(S$8:S$217,Nutrients!$EN$8:$EN$217)+(IF($A$6=Nutrients!$B$8,Nutrients!$EN$8,Nutrients!$EN$9)*S$6)+(((IF($A$7=Nutrients!$B$79,Nutrients!$EN$79,(IF($A$7=Nutrients!$B$77,Nutrients!$EN$77,Nutrients!$EN$78)))))*S$7))/2000*1000000</f>
        <v>11.013215859030838</v>
      </c>
      <c r="T324" s="56">
        <f>(SUMPRODUCT(T$8:T$217,Nutrients!$EN$8:$EN$217)+(IF($A$6=Nutrients!$B$8,Nutrients!$EN$8,Nutrients!$EN$9)*T$6)+(((IF($A$7=Nutrients!$B$79,Nutrients!$EN$79,(IF($A$7=Nutrients!$B$77,Nutrients!$EN$77,Nutrients!$EN$78)))))*T$7))/2000*1000000</f>
        <v>11.013215859030838</v>
      </c>
      <c r="U324" s="56">
        <f>(SUMPRODUCT(U$8:U$217,Nutrients!$EN$8:$EN$217)+(IF($A$6=Nutrients!$B$8,Nutrients!$EN$8,Nutrients!$EN$9)*U$6)+(((IF($A$7=Nutrients!$B$79,Nutrients!$EN$79,(IF($A$7=Nutrients!$B$77,Nutrients!$EN$77,Nutrients!$EN$78)))))*U$7))/2000*1000000</f>
        <v>11.013215859030838</v>
      </c>
      <c r="V324" s="436"/>
      <c r="W324" s="56">
        <f>(SUMPRODUCT(W$8:W$217,Nutrients!$EN$8:$EN$217)+(IF($A$6=Nutrients!$B$8,Nutrients!$EN$8,Nutrients!$EN$9)*W$6)+(((IF($A$7=Nutrients!$B$79,Nutrients!$EN$79,(IF($A$7=Nutrients!$B$77,Nutrients!$EN$77,Nutrients!$EN$78)))))*W$7))/2000*1000000</f>
        <v>11.013215859030838</v>
      </c>
      <c r="X324" s="56">
        <f>(SUMPRODUCT(X$8:X$217,Nutrients!$EN$8:$EN$217)+(IF($A$6=Nutrients!$B$8,Nutrients!$EN$8,Nutrients!$EN$9)*X$6)+(((IF($A$7=Nutrients!$B$79,Nutrients!$EN$79,(IF($A$7=Nutrients!$B$77,Nutrients!$EN$77,Nutrients!$EN$78)))))*X$7))/2000*1000000</f>
        <v>11.013215859030838</v>
      </c>
      <c r="Y324" s="56">
        <f>(SUMPRODUCT(Y$8:Y$217,Nutrients!$EN$8:$EN$217)+(IF($A$6=Nutrients!$B$8,Nutrients!$EN$8,Nutrients!$EN$9)*Y$6)+(((IF($A$7=Nutrients!$B$79,Nutrients!$EN$79,(IF($A$7=Nutrients!$B$77,Nutrients!$EN$77,Nutrients!$EN$78)))))*Y$7))/2000*1000000</f>
        <v>11.013215859030838</v>
      </c>
      <c r="Z324" s="56">
        <f>(SUMPRODUCT(Z$8:Z$217,Nutrients!$EN$8:$EN$217)+(IF($A$6=Nutrients!$B$8,Nutrients!$EN$8,Nutrients!$EN$9)*Z$6)+(((IF($A$7=Nutrients!$B$79,Nutrients!$EN$79,(IF($A$7=Nutrients!$B$77,Nutrients!$EN$77,Nutrients!$EN$78)))))*Z$7))/2000*1000000</f>
        <v>11.013215859030838</v>
      </c>
      <c r="AA324" s="56">
        <f>(SUMPRODUCT(AA$8:AA$217,Nutrients!$EN$8:$EN$217)+(IF($A$6=Nutrients!$B$8,Nutrients!$EN$8,Nutrients!$EN$9)*AA$6)+(((IF($A$7=Nutrients!$B$79,Nutrients!$EN$79,(IF($A$7=Nutrients!$B$77,Nutrients!$EN$77,Nutrients!$EN$78)))))*AA$7))/2000*1000000</f>
        <v>11.013215859030838</v>
      </c>
      <c r="AB324" s="56">
        <f>(SUMPRODUCT(AB$8:AB$217,Nutrients!$EN$8:$EN$217)+(IF($A$6=Nutrients!$B$8,Nutrients!$EN$8,Nutrients!$EN$9)*AB$6)+(((IF($A$7=Nutrients!$B$79,Nutrients!$EN$79,(IF($A$7=Nutrients!$B$77,Nutrients!$EN$77,Nutrients!$EN$78)))))*AB$7))/2000*1000000</f>
        <v>11.013215859030838</v>
      </c>
      <c r="AC324" s="56">
        <f>(SUMPRODUCT(AC$8:AC$217,Nutrients!$EN$8:$EN$217)+(IF($A$6=Nutrients!$B$8,Nutrients!$EN$8,Nutrients!$EN$9)*AC$6)+(((IF($A$7=Nutrients!$B$79,Nutrients!$EN$79,(IF($A$7=Nutrients!$B$77,Nutrients!$EN$77,Nutrients!$EN$78)))))*AC$7))/2000*1000000</f>
        <v>11.013215859030838</v>
      </c>
      <c r="AD324" s="436"/>
      <c r="AE324" s="56">
        <f>(SUMPRODUCT(AE$8:AE$217,Nutrients!$EN$8:$EN$217)+(IF($A$6=Nutrients!$B$8,Nutrients!$EN$8,Nutrients!$EN$9)*AE$6)+(((IF($A$7=Nutrients!$B$79,Nutrients!$EN$79,(IF($A$7=Nutrients!$B$77,Nutrients!$EN$77,Nutrients!$EN$78)))))*AE$7))/2000*1000000</f>
        <v>11.013215859030838</v>
      </c>
      <c r="AF324" s="56">
        <f>(SUMPRODUCT(AF$8:AF$217,Nutrients!$EN$8:$EN$217)+(IF($A$6=Nutrients!$B$8,Nutrients!$EN$8,Nutrients!$EN$9)*AF$6)+(((IF($A$7=Nutrients!$B$79,Nutrients!$EN$79,(IF($A$7=Nutrients!$B$77,Nutrients!$EN$77,Nutrients!$EN$78)))))*AF$7))/2000*1000000</f>
        <v>11.013215859030838</v>
      </c>
      <c r="AG324" s="56">
        <f>(SUMPRODUCT(AG$8:AG$217,Nutrients!$EN$8:$EN$217)+(IF($A$6=Nutrients!$B$8,Nutrients!$EN$8,Nutrients!$EN$9)*AG$6)+(((IF($A$7=Nutrients!$B$79,Nutrients!$EN$79,(IF($A$7=Nutrients!$B$77,Nutrients!$EN$77,Nutrients!$EN$78)))))*AG$7))/2000*1000000</f>
        <v>11.013215859030838</v>
      </c>
      <c r="AH324" s="56">
        <f>(SUMPRODUCT(AH$8:AH$217,Nutrients!$EN$8:$EN$217)+(IF($A$6=Nutrients!$B$8,Nutrients!$EN$8,Nutrients!$EN$9)*AH$6)+(((IF($A$7=Nutrients!$B$79,Nutrients!$EN$79,(IF($A$7=Nutrients!$B$77,Nutrients!$EN$77,Nutrients!$EN$78)))))*AH$7))/2000*1000000</f>
        <v>11.013215859030838</v>
      </c>
      <c r="AI324" s="56">
        <f>(SUMPRODUCT(AI$8:AI$217,Nutrients!$EN$8:$EN$217)+(IF($A$6=Nutrients!$B$8,Nutrients!$EN$8,Nutrients!$EN$9)*AI$6)+(((IF($A$7=Nutrients!$B$79,Nutrients!$EN$79,(IF($A$7=Nutrients!$B$77,Nutrients!$EN$77,Nutrients!$EN$78)))))*AI$7))/2000*1000000</f>
        <v>11.013215859030838</v>
      </c>
      <c r="AJ324" s="56">
        <f>(SUMPRODUCT(AJ$8:AJ$217,Nutrients!$EN$8:$EN$217)+(IF($A$6=Nutrients!$B$8,Nutrients!$EN$8,Nutrients!$EN$9)*AJ$6)+(((IF($A$7=Nutrients!$B$79,Nutrients!$EN$79,(IF($A$7=Nutrients!$B$77,Nutrients!$EN$77,Nutrients!$EN$78)))))*AJ$7))/2000*1000000</f>
        <v>11.013215859030838</v>
      </c>
    </row>
    <row r="325" spans="1:38" x14ac:dyDescent="0.15">
      <c r="A325" s="261" t="s">
        <v>110</v>
      </c>
      <c r="B325" s="58">
        <f>(SUMPRODUCT(B$8:B$217,Nutrients!$EO$8:$EO$217)+(IF($A$6=Nutrients!$B$8,Nutrients!$EO$8,Nutrients!$EO$9)*B$6)+(((IF($A$7=Nutrients!$B$79,Nutrients!$EO$79,(IF($A$7=Nutrients!$B$77,Nutrients!$EO$77,Nutrients!$EO$78)))))*B$7))/2000*1000000</f>
        <v>0.29735682819383263</v>
      </c>
      <c r="C325" s="58">
        <f>(SUMPRODUCT(C$8:C$217,Nutrients!$EO$8:$EO$217)+(IF($A$6=Nutrients!$B$8,Nutrients!$EO$8,Nutrients!$EO$9)*C$6)+(((IF($A$7=Nutrients!$B$79,Nutrients!$EO$79,(IF($A$7=Nutrients!$B$77,Nutrients!$EO$77,Nutrients!$EO$78)))))*C$7))/2000*1000000</f>
        <v>0.29735682819383263</v>
      </c>
      <c r="D325" s="58">
        <f>(SUMPRODUCT(D$8:D$217,Nutrients!$EO$8:$EO$217)+(IF($A$6=Nutrients!$B$8,Nutrients!$EO$8,Nutrients!$EO$9)*D$6)+(((IF($A$7=Nutrients!$B$79,Nutrients!$EO$79,(IF($A$7=Nutrients!$B$77,Nutrients!$EO$77,Nutrients!$EO$78)))))*D$7))/2000*1000000</f>
        <v>0.29735682819383263</v>
      </c>
      <c r="E325" s="58">
        <f>(SUMPRODUCT(E$8:E$217,Nutrients!$EO$8:$EO$217)+(IF($A$6=Nutrients!$B$8,Nutrients!$EO$8,Nutrients!$EO$9)*E$6)+(((IF($A$7=Nutrients!$B$79,Nutrients!$EO$79,(IF($A$7=Nutrients!$B$77,Nutrients!$EO$77,Nutrients!$EO$78)))))*E$7))/2000*1000000</f>
        <v>0.29735682819383263</v>
      </c>
      <c r="F325" s="58">
        <f>(SUMPRODUCT(F$8:F$217,Nutrients!$EO$8:$EO$217)+(IF($A$6=Nutrients!$B$8,Nutrients!$EO$8,Nutrients!$EO$9)*F$6)+(((IF($A$7=Nutrients!$B$79,Nutrients!$EO$79,(IF($A$7=Nutrients!$B$77,Nutrients!$EO$77,Nutrients!$EO$78)))))*F$7))/2000*1000000</f>
        <v>0.29735682819383263</v>
      </c>
      <c r="G325" s="58">
        <f>(SUMPRODUCT(G$8:G$217,Nutrients!$EO$8:$EO$217)+(IF($A$6=Nutrients!$B$8,Nutrients!$EO$8,Nutrients!$EO$9)*G$6)+(((IF($A$7=Nutrients!$B$79,Nutrients!$EO$79,(IF($A$7=Nutrients!$B$77,Nutrients!$EO$77,Nutrients!$EO$78)))))*G$7))/2000*1000000</f>
        <v>0.29735682819383263</v>
      </c>
      <c r="H325" s="437"/>
      <c r="I325" s="58">
        <f>(SUMPRODUCT(I$8:I$217,Nutrients!$EO$8:$EO$217)+(IF($A$6=Nutrients!$B$8,Nutrients!$EO$8,Nutrients!$EO$9)*I$6)+(((IF($A$7=Nutrients!$B$79,Nutrients!$EO$79,(IF($A$7=Nutrients!$B$77,Nutrients!$EO$77,Nutrients!$EO$78)))))*I$7))/2000*1000000</f>
        <v>0.29735682819383263</v>
      </c>
      <c r="J325" s="58">
        <f>(SUMPRODUCT(J$8:J$217,Nutrients!$EO$8:$EO$217)+(IF($A$6=Nutrients!$B$8,Nutrients!$EO$8,Nutrients!$EO$9)*J$6)+(((IF($A$7=Nutrients!$B$79,Nutrients!$EO$79,(IF($A$7=Nutrients!$B$77,Nutrients!$EO$77,Nutrients!$EO$78)))))*J$7))/2000*1000000</f>
        <v>0.29735682819383263</v>
      </c>
      <c r="K325" s="58">
        <f>(SUMPRODUCT(K$8:K$217,Nutrients!$EO$8:$EO$217)+(IF($A$6=Nutrients!$B$8,Nutrients!$EO$8,Nutrients!$EO$9)*K$6)+(((IF($A$7=Nutrients!$B$79,Nutrients!$EO$79,(IF($A$7=Nutrients!$B$77,Nutrients!$EO$77,Nutrients!$EO$78)))))*K$7))/2000*1000000</f>
        <v>0.29735682819383263</v>
      </c>
      <c r="L325" s="58">
        <f>(SUMPRODUCT(L$8:L$217,Nutrients!$EO$8:$EO$217)+(IF($A$6=Nutrients!$B$8,Nutrients!$EO$8,Nutrients!$EO$9)*L$6)+(((IF($A$7=Nutrients!$B$79,Nutrients!$EO$79,(IF($A$7=Nutrients!$B$77,Nutrients!$EO$77,Nutrients!$EO$78)))))*L$7))/2000*1000000</f>
        <v>0.29735682819383263</v>
      </c>
      <c r="M325" s="58">
        <f>(SUMPRODUCT(M$8:M$217,Nutrients!$EO$8:$EO$217)+(IF($A$6=Nutrients!$B$8,Nutrients!$EO$8,Nutrients!$EO$9)*M$6)+(((IF($A$7=Nutrients!$B$79,Nutrients!$EO$79,(IF($A$7=Nutrients!$B$77,Nutrients!$EO$77,Nutrients!$EO$78)))))*M$7))/2000*1000000</f>
        <v>0.29735682819383263</v>
      </c>
      <c r="N325" s="58">
        <f>(SUMPRODUCT(N$8:N$217,Nutrients!$EO$8:$EO$217)+(IF($A$6=Nutrients!$B$8,Nutrients!$EO$8,Nutrients!$EO$9)*N$6)+(((IF($A$7=Nutrients!$B$79,Nutrients!$EO$79,(IF($A$7=Nutrients!$B$77,Nutrients!$EO$77,Nutrients!$EO$78)))))*N$7))/2000*1000000</f>
        <v>0.29735682819383263</v>
      </c>
      <c r="O325" s="437"/>
      <c r="P325" s="58">
        <f>(SUMPRODUCT(P$8:P$217,Nutrients!$EO$8:$EO$217)+(IF($A$6=Nutrients!$B$8,Nutrients!$EO$8,Nutrients!$EO$9)*P$6)+(((IF($A$7=Nutrients!$B$79,Nutrients!$EO$79,(IF($A$7=Nutrients!$B$77,Nutrients!$EO$77,Nutrients!$EO$78)))))*P$7))/2000*1000000</f>
        <v>0.19823788546255508</v>
      </c>
      <c r="Q325" s="58">
        <f>(SUMPRODUCT(Q$8:Q$217,Nutrients!$EO$8:$EO$217)+(IF($A$6=Nutrients!$B$8,Nutrients!$EO$8,Nutrients!$EO$9)*Q$6)+(((IF($A$7=Nutrients!$B$79,Nutrients!$EO$79,(IF($A$7=Nutrients!$B$77,Nutrients!$EO$77,Nutrients!$EO$78)))))*Q$7))/2000*1000000</f>
        <v>0.19823788546255508</v>
      </c>
      <c r="R325" s="58">
        <f>(SUMPRODUCT(R$8:R$217,Nutrients!$EO$8:$EO$217)+(IF($A$6=Nutrients!$B$8,Nutrients!$EO$8,Nutrients!$EO$9)*R$6)+(((IF($A$7=Nutrients!$B$79,Nutrients!$EO$79,(IF($A$7=Nutrients!$B$77,Nutrients!$EO$77,Nutrients!$EO$78)))))*R$7))/2000*1000000</f>
        <v>0.19823788546255508</v>
      </c>
      <c r="S325" s="58">
        <f>(SUMPRODUCT(S$8:S$217,Nutrients!$EO$8:$EO$217)+(IF($A$6=Nutrients!$B$8,Nutrients!$EO$8,Nutrients!$EO$9)*S$6)+(((IF($A$7=Nutrients!$B$79,Nutrients!$EO$79,(IF($A$7=Nutrients!$B$77,Nutrients!$EO$77,Nutrients!$EO$78)))))*S$7))/2000*1000000</f>
        <v>0.19823788546255508</v>
      </c>
      <c r="T325" s="58">
        <f>(SUMPRODUCT(T$8:T$217,Nutrients!$EO$8:$EO$217)+(IF($A$6=Nutrients!$B$8,Nutrients!$EO$8,Nutrients!$EO$9)*T$6)+(((IF($A$7=Nutrients!$B$79,Nutrients!$EO$79,(IF($A$7=Nutrients!$B$77,Nutrients!$EO$77,Nutrients!$EO$78)))))*T$7))/2000*1000000</f>
        <v>0.19823788546255508</v>
      </c>
      <c r="U325" s="58">
        <f>(SUMPRODUCT(U$8:U$217,Nutrients!$EO$8:$EO$217)+(IF($A$6=Nutrients!$B$8,Nutrients!$EO$8,Nutrients!$EO$9)*U$6)+(((IF($A$7=Nutrients!$B$79,Nutrients!$EO$79,(IF($A$7=Nutrients!$B$77,Nutrients!$EO$77,Nutrients!$EO$78)))))*U$7))/2000*1000000</f>
        <v>0.19823788546255508</v>
      </c>
      <c r="V325" s="437"/>
      <c r="W325" s="58">
        <f>(SUMPRODUCT(W$8:W$217,Nutrients!$EO$8:$EO$217)+(IF($A$6=Nutrients!$B$8,Nutrients!$EO$8,Nutrients!$EO$9)*W$6)+(((IF($A$7=Nutrients!$B$79,Nutrients!$EO$79,(IF($A$7=Nutrients!$B$77,Nutrients!$EO$77,Nutrients!$EO$78)))))*W$7))/2000*1000000</f>
        <v>0.19823788546255508</v>
      </c>
      <c r="X325" s="58">
        <f>(SUMPRODUCT(X$8:X$217,Nutrients!$EO$8:$EO$217)+(IF($A$6=Nutrients!$B$8,Nutrients!$EO$8,Nutrients!$EO$9)*X$6)+(((IF($A$7=Nutrients!$B$79,Nutrients!$EO$79,(IF($A$7=Nutrients!$B$77,Nutrients!$EO$77,Nutrients!$EO$78)))))*X$7))/2000*1000000</f>
        <v>0.19823788546255508</v>
      </c>
      <c r="Y325" s="58">
        <f>(SUMPRODUCT(Y$8:Y$217,Nutrients!$EO$8:$EO$217)+(IF($A$6=Nutrients!$B$8,Nutrients!$EO$8,Nutrients!$EO$9)*Y$6)+(((IF($A$7=Nutrients!$B$79,Nutrients!$EO$79,(IF($A$7=Nutrients!$B$77,Nutrients!$EO$77,Nutrients!$EO$78)))))*Y$7))/2000*1000000</f>
        <v>0.19823788546255508</v>
      </c>
      <c r="Z325" s="58">
        <f>(SUMPRODUCT(Z$8:Z$217,Nutrients!$EO$8:$EO$217)+(IF($A$6=Nutrients!$B$8,Nutrients!$EO$8,Nutrients!$EO$9)*Z$6)+(((IF($A$7=Nutrients!$B$79,Nutrients!$EO$79,(IF($A$7=Nutrients!$B$77,Nutrients!$EO$77,Nutrients!$EO$78)))))*Z$7))/2000*1000000</f>
        <v>0.19823788546255508</v>
      </c>
      <c r="AA325" s="58">
        <f>(SUMPRODUCT(AA$8:AA$217,Nutrients!$EO$8:$EO$217)+(IF($A$6=Nutrients!$B$8,Nutrients!$EO$8,Nutrients!$EO$9)*AA$6)+(((IF($A$7=Nutrients!$B$79,Nutrients!$EO$79,(IF($A$7=Nutrients!$B$77,Nutrients!$EO$77,Nutrients!$EO$78)))))*AA$7))/2000*1000000</f>
        <v>0.19823788546255508</v>
      </c>
      <c r="AB325" s="58">
        <f>(SUMPRODUCT(AB$8:AB$217,Nutrients!$EO$8:$EO$217)+(IF($A$6=Nutrients!$B$8,Nutrients!$EO$8,Nutrients!$EO$9)*AB$6)+(((IF($A$7=Nutrients!$B$79,Nutrients!$EO$79,(IF($A$7=Nutrients!$B$77,Nutrients!$EO$77,Nutrients!$EO$78)))))*AB$7))/2000*1000000</f>
        <v>0.19823788546255508</v>
      </c>
      <c r="AC325" s="58">
        <f>(SUMPRODUCT(AC$8:AC$217,Nutrients!$EO$8:$EO$217)+(IF($A$6=Nutrients!$B$8,Nutrients!$EO$8,Nutrients!$EO$9)*AC$6)+(((IF($A$7=Nutrients!$B$79,Nutrients!$EO$79,(IF($A$7=Nutrients!$B$77,Nutrients!$EO$77,Nutrients!$EO$78)))))*AC$7))/2000*1000000</f>
        <v>0.19823788546255508</v>
      </c>
      <c r="AD325" s="437"/>
      <c r="AE325" s="58">
        <f>(SUMPRODUCT(AE$8:AE$217,Nutrients!$EO$8:$EO$217)+(IF($A$6=Nutrients!$B$8,Nutrients!$EO$8,Nutrients!$EO$9)*AE$6)+(((IF($A$7=Nutrients!$B$79,Nutrients!$EO$79,(IF($A$7=Nutrients!$B$77,Nutrients!$EO$77,Nutrients!$EO$78)))))*AE$7))/2000*1000000</f>
        <v>0.19823788546255508</v>
      </c>
      <c r="AF325" s="58">
        <f>(SUMPRODUCT(AF$8:AF$217,Nutrients!$EO$8:$EO$217)+(IF($A$6=Nutrients!$B$8,Nutrients!$EO$8,Nutrients!$EO$9)*AF$6)+(((IF($A$7=Nutrients!$B$79,Nutrients!$EO$79,(IF($A$7=Nutrients!$B$77,Nutrients!$EO$77,Nutrients!$EO$78)))))*AF$7))/2000*1000000</f>
        <v>0.19823788546255508</v>
      </c>
      <c r="AG325" s="58">
        <f>(SUMPRODUCT(AG$8:AG$217,Nutrients!$EO$8:$EO$217)+(IF($A$6=Nutrients!$B$8,Nutrients!$EO$8,Nutrients!$EO$9)*AG$6)+(((IF($A$7=Nutrients!$B$79,Nutrients!$EO$79,(IF($A$7=Nutrients!$B$77,Nutrients!$EO$77,Nutrients!$EO$78)))))*AG$7))/2000*1000000</f>
        <v>0.19823788546255508</v>
      </c>
      <c r="AH325" s="58">
        <f>(SUMPRODUCT(AH$8:AH$217,Nutrients!$EO$8:$EO$217)+(IF($A$6=Nutrients!$B$8,Nutrients!$EO$8,Nutrients!$EO$9)*AH$6)+(((IF($A$7=Nutrients!$B$79,Nutrients!$EO$79,(IF($A$7=Nutrients!$B$77,Nutrients!$EO$77,Nutrients!$EO$78)))))*AH$7))/2000*1000000</f>
        <v>0.19823788546255508</v>
      </c>
      <c r="AI325" s="58">
        <f>(SUMPRODUCT(AI$8:AI$217,Nutrients!$EO$8:$EO$217)+(IF($A$6=Nutrients!$B$8,Nutrients!$EO$8,Nutrients!$EO$9)*AI$6)+(((IF($A$7=Nutrients!$B$79,Nutrients!$EO$79,(IF($A$7=Nutrients!$B$77,Nutrients!$EO$77,Nutrients!$EO$78)))))*AI$7))/2000*1000000</f>
        <v>0.19823788546255508</v>
      </c>
      <c r="AJ325" s="58">
        <f>(SUMPRODUCT(AJ$8:AJ$217,Nutrients!$EO$8:$EO$217)+(IF($A$6=Nutrients!$B$8,Nutrients!$EO$8,Nutrients!$EO$9)*AJ$6)+(((IF($A$7=Nutrients!$B$79,Nutrients!$EO$79,(IF($A$7=Nutrients!$B$77,Nutrients!$EO$77,Nutrients!$EO$78)))))*AJ$7))/2000*1000000</f>
        <v>0.19823788546255508</v>
      </c>
    </row>
    <row r="326" spans="1:38" x14ac:dyDescent="0.15">
      <c r="A326" s="261" t="s">
        <v>111</v>
      </c>
      <c r="B326" s="58">
        <f>(SUMPRODUCT(B$8:B$217,Nutrients!$EP$8:$EP$217)+(IF($A$6=Nutrients!$B$8,Nutrients!$EP$8,Nutrients!$EP$9)*B$6)+(((IF($A$7=Nutrients!$B$79,Nutrients!$EP$79,(IF($A$7=Nutrients!$B$77,Nutrients!$EP$77,Nutrients!$EP$78)))))*B$7))/2000*1000000</f>
        <v>0.29735682819383263</v>
      </c>
      <c r="C326" s="58">
        <f>(SUMPRODUCT(C$8:C$217,Nutrients!$EP$8:$EP$217)+(IF($A$6=Nutrients!$B$8,Nutrients!$EP$8,Nutrients!$EP$9)*C$6)+(((IF($A$7=Nutrients!$B$79,Nutrients!$EP$79,(IF($A$7=Nutrients!$B$77,Nutrients!$EP$77,Nutrients!$EP$78)))))*C$7))/2000*1000000</f>
        <v>0.29735682819383263</v>
      </c>
      <c r="D326" s="58">
        <f>(SUMPRODUCT(D$8:D$217,Nutrients!$EP$8:$EP$217)+(IF($A$6=Nutrients!$B$8,Nutrients!$EP$8,Nutrients!$EP$9)*D$6)+(((IF($A$7=Nutrients!$B$79,Nutrients!$EP$79,(IF($A$7=Nutrients!$B$77,Nutrients!$EP$77,Nutrients!$EP$78)))))*D$7))/2000*1000000</f>
        <v>0.29735682819383263</v>
      </c>
      <c r="E326" s="58">
        <f>(SUMPRODUCT(E$8:E$217,Nutrients!$EP$8:$EP$217)+(IF($A$6=Nutrients!$B$8,Nutrients!$EP$8,Nutrients!$EP$9)*E$6)+(((IF($A$7=Nutrients!$B$79,Nutrients!$EP$79,(IF($A$7=Nutrients!$B$77,Nutrients!$EP$77,Nutrients!$EP$78)))))*E$7))/2000*1000000</f>
        <v>0.29735682819383263</v>
      </c>
      <c r="F326" s="58">
        <f>(SUMPRODUCT(F$8:F$217,Nutrients!$EP$8:$EP$217)+(IF($A$6=Nutrients!$B$8,Nutrients!$EP$8,Nutrients!$EP$9)*F$6)+(((IF($A$7=Nutrients!$B$79,Nutrients!$EP$79,(IF($A$7=Nutrients!$B$77,Nutrients!$EP$77,Nutrients!$EP$78)))))*F$7))/2000*1000000</f>
        <v>0.29735682819383263</v>
      </c>
      <c r="G326" s="58">
        <f>(SUMPRODUCT(G$8:G$217,Nutrients!$EP$8:$EP$217)+(IF($A$6=Nutrients!$B$8,Nutrients!$EP$8,Nutrients!$EP$9)*G$6)+(((IF($A$7=Nutrients!$B$79,Nutrients!$EP$79,(IF($A$7=Nutrients!$B$77,Nutrients!$EP$77,Nutrients!$EP$78)))))*G$7))/2000*1000000</f>
        <v>0.29735682819383263</v>
      </c>
      <c r="H326" s="437"/>
      <c r="I326" s="58">
        <f>(SUMPRODUCT(I$8:I$217,Nutrients!$EP$8:$EP$217)+(IF($A$6=Nutrients!$B$8,Nutrients!$EP$8,Nutrients!$EP$9)*I$6)+(((IF($A$7=Nutrients!$B$79,Nutrients!$EP$79,(IF($A$7=Nutrients!$B$77,Nutrients!$EP$77,Nutrients!$EP$78)))))*I$7))/2000*1000000</f>
        <v>0.29735682819383263</v>
      </c>
      <c r="J326" s="58">
        <f>(SUMPRODUCT(J$8:J$217,Nutrients!$EP$8:$EP$217)+(IF($A$6=Nutrients!$B$8,Nutrients!$EP$8,Nutrients!$EP$9)*J$6)+(((IF($A$7=Nutrients!$B$79,Nutrients!$EP$79,(IF($A$7=Nutrients!$B$77,Nutrients!$EP$77,Nutrients!$EP$78)))))*J$7))/2000*1000000</f>
        <v>0.29735682819383263</v>
      </c>
      <c r="K326" s="58">
        <f>(SUMPRODUCT(K$8:K$217,Nutrients!$EP$8:$EP$217)+(IF($A$6=Nutrients!$B$8,Nutrients!$EP$8,Nutrients!$EP$9)*K$6)+(((IF($A$7=Nutrients!$B$79,Nutrients!$EP$79,(IF($A$7=Nutrients!$B$77,Nutrients!$EP$77,Nutrients!$EP$78)))))*K$7))/2000*1000000</f>
        <v>0.29735682819383263</v>
      </c>
      <c r="L326" s="58">
        <f>(SUMPRODUCT(L$8:L$217,Nutrients!$EP$8:$EP$217)+(IF($A$6=Nutrients!$B$8,Nutrients!$EP$8,Nutrients!$EP$9)*L$6)+(((IF($A$7=Nutrients!$B$79,Nutrients!$EP$79,(IF($A$7=Nutrients!$B$77,Nutrients!$EP$77,Nutrients!$EP$78)))))*L$7))/2000*1000000</f>
        <v>0.29735682819383263</v>
      </c>
      <c r="M326" s="58">
        <f>(SUMPRODUCT(M$8:M$217,Nutrients!$EP$8:$EP$217)+(IF($A$6=Nutrients!$B$8,Nutrients!$EP$8,Nutrients!$EP$9)*M$6)+(((IF($A$7=Nutrients!$B$79,Nutrients!$EP$79,(IF($A$7=Nutrients!$B$77,Nutrients!$EP$77,Nutrients!$EP$78)))))*M$7))/2000*1000000</f>
        <v>0.29735682819383263</v>
      </c>
      <c r="N326" s="58">
        <f>(SUMPRODUCT(N$8:N$217,Nutrients!$EP$8:$EP$217)+(IF($A$6=Nutrients!$B$8,Nutrients!$EP$8,Nutrients!$EP$9)*N$6)+(((IF($A$7=Nutrients!$B$79,Nutrients!$EP$79,(IF($A$7=Nutrients!$B$77,Nutrients!$EP$77,Nutrients!$EP$78)))))*N$7))/2000*1000000</f>
        <v>0.29735682819383263</v>
      </c>
      <c r="O326" s="437"/>
      <c r="P326" s="58">
        <f>(SUMPRODUCT(P$8:P$217,Nutrients!$EP$8:$EP$217)+(IF($A$6=Nutrients!$B$8,Nutrients!$EP$8,Nutrients!$EP$9)*P$6)+(((IF($A$7=Nutrients!$B$79,Nutrients!$EP$79,(IF($A$7=Nutrients!$B$77,Nutrients!$EP$77,Nutrients!$EP$78)))))*P$7))/2000*1000000</f>
        <v>0.19823788546255508</v>
      </c>
      <c r="Q326" s="58">
        <f>(SUMPRODUCT(Q$8:Q$217,Nutrients!$EP$8:$EP$217)+(IF($A$6=Nutrients!$B$8,Nutrients!$EP$8,Nutrients!$EP$9)*Q$6)+(((IF($A$7=Nutrients!$B$79,Nutrients!$EP$79,(IF($A$7=Nutrients!$B$77,Nutrients!$EP$77,Nutrients!$EP$78)))))*Q$7))/2000*1000000</f>
        <v>0.19823788546255508</v>
      </c>
      <c r="R326" s="58">
        <f>(SUMPRODUCT(R$8:R$217,Nutrients!$EP$8:$EP$217)+(IF($A$6=Nutrients!$B$8,Nutrients!$EP$8,Nutrients!$EP$9)*R$6)+(((IF($A$7=Nutrients!$B$79,Nutrients!$EP$79,(IF($A$7=Nutrients!$B$77,Nutrients!$EP$77,Nutrients!$EP$78)))))*R$7))/2000*1000000</f>
        <v>0.19823788546255508</v>
      </c>
      <c r="S326" s="58">
        <f>(SUMPRODUCT(S$8:S$217,Nutrients!$EP$8:$EP$217)+(IF($A$6=Nutrients!$B$8,Nutrients!$EP$8,Nutrients!$EP$9)*S$6)+(((IF($A$7=Nutrients!$B$79,Nutrients!$EP$79,(IF($A$7=Nutrients!$B$77,Nutrients!$EP$77,Nutrients!$EP$78)))))*S$7))/2000*1000000</f>
        <v>0.19823788546255508</v>
      </c>
      <c r="T326" s="58">
        <f>(SUMPRODUCT(T$8:T$217,Nutrients!$EP$8:$EP$217)+(IF($A$6=Nutrients!$B$8,Nutrients!$EP$8,Nutrients!$EP$9)*T$6)+(((IF($A$7=Nutrients!$B$79,Nutrients!$EP$79,(IF($A$7=Nutrients!$B$77,Nutrients!$EP$77,Nutrients!$EP$78)))))*T$7))/2000*1000000</f>
        <v>0.19823788546255508</v>
      </c>
      <c r="U326" s="58">
        <f>(SUMPRODUCT(U$8:U$217,Nutrients!$EP$8:$EP$217)+(IF($A$6=Nutrients!$B$8,Nutrients!$EP$8,Nutrients!$EP$9)*U$6)+(((IF($A$7=Nutrients!$B$79,Nutrients!$EP$79,(IF($A$7=Nutrients!$B$77,Nutrients!$EP$77,Nutrients!$EP$78)))))*U$7))/2000*1000000</f>
        <v>0.19823788546255508</v>
      </c>
      <c r="V326" s="437"/>
      <c r="W326" s="58">
        <f>(SUMPRODUCT(W$8:W$217,Nutrients!$EP$8:$EP$217)+(IF($A$6=Nutrients!$B$8,Nutrients!$EP$8,Nutrients!$EP$9)*W$6)+(((IF($A$7=Nutrients!$B$79,Nutrients!$EP$79,(IF($A$7=Nutrients!$B$77,Nutrients!$EP$77,Nutrients!$EP$78)))))*W$7))/2000*1000000</f>
        <v>0.19823788546255508</v>
      </c>
      <c r="X326" s="58">
        <f>(SUMPRODUCT(X$8:X$217,Nutrients!$EP$8:$EP$217)+(IF($A$6=Nutrients!$B$8,Nutrients!$EP$8,Nutrients!$EP$9)*X$6)+(((IF($A$7=Nutrients!$B$79,Nutrients!$EP$79,(IF($A$7=Nutrients!$B$77,Nutrients!$EP$77,Nutrients!$EP$78)))))*X$7))/2000*1000000</f>
        <v>0.19823788546255508</v>
      </c>
      <c r="Y326" s="58">
        <f>(SUMPRODUCT(Y$8:Y$217,Nutrients!$EP$8:$EP$217)+(IF($A$6=Nutrients!$B$8,Nutrients!$EP$8,Nutrients!$EP$9)*Y$6)+(((IF($A$7=Nutrients!$B$79,Nutrients!$EP$79,(IF($A$7=Nutrients!$B$77,Nutrients!$EP$77,Nutrients!$EP$78)))))*Y$7))/2000*1000000</f>
        <v>0.19823788546255508</v>
      </c>
      <c r="Z326" s="58">
        <f>(SUMPRODUCT(Z$8:Z$217,Nutrients!$EP$8:$EP$217)+(IF($A$6=Nutrients!$B$8,Nutrients!$EP$8,Nutrients!$EP$9)*Z$6)+(((IF($A$7=Nutrients!$B$79,Nutrients!$EP$79,(IF($A$7=Nutrients!$B$77,Nutrients!$EP$77,Nutrients!$EP$78)))))*Z$7))/2000*1000000</f>
        <v>0.19823788546255508</v>
      </c>
      <c r="AA326" s="58">
        <f>(SUMPRODUCT(AA$8:AA$217,Nutrients!$EP$8:$EP$217)+(IF($A$6=Nutrients!$B$8,Nutrients!$EP$8,Nutrients!$EP$9)*AA$6)+(((IF($A$7=Nutrients!$B$79,Nutrients!$EP$79,(IF($A$7=Nutrients!$B$77,Nutrients!$EP$77,Nutrients!$EP$78)))))*AA$7))/2000*1000000</f>
        <v>0.19823788546255508</v>
      </c>
      <c r="AB326" s="58">
        <f>(SUMPRODUCT(AB$8:AB$217,Nutrients!$EP$8:$EP$217)+(IF($A$6=Nutrients!$B$8,Nutrients!$EP$8,Nutrients!$EP$9)*AB$6)+(((IF($A$7=Nutrients!$B$79,Nutrients!$EP$79,(IF($A$7=Nutrients!$B$77,Nutrients!$EP$77,Nutrients!$EP$78)))))*AB$7))/2000*1000000</f>
        <v>0.19823788546255508</v>
      </c>
      <c r="AC326" s="58">
        <f>(SUMPRODUCT(AC$8:AC$217,Nutrients!$EP$8:$EP$217)+(IF($A$6=Nutrients!$B$8,Nutrients!$EP$8,Nutrients!$EP$9)*AC$6)+(((IF($A$7=Nutrients!$B$79,Nutrients!$EP$79,(IF($A$7=Nutrients!$B$77,Nutrients!$EP$77,Nutrients!$EP$78)))))*AC$7))/2000*1000000</f>
        <v>0.19823788546255508</v>
      </c>
      <c r="AD326" s="437"/>
      <c r="AE326" s="58">
        <f>(SUMPRODUCT(AE$8:AE$217,Nutrients!$EP$8:$EP$217)+(IF($A$6=Nutrients!$B$8,Nutrients!$EP$8,Nutrients!$EP$9)*AE$6)+(((IF($A$7=Nutrients!$B$79,Nutrients!$EP$79,(IF($A$7=Nutrients!$B$77,Nutrients!$EP$77,Nutrients!$EP$78)))))*AE$7))/2000*1000000</f>
        <v>0.19823788546255508</v>
      </c>
      <c r="AF326" s="58">
        <f>(SUMPRODUCT(AF$8:AF$217,Nutrients!$EP$8:$EP$217)+(IF($A$6=Nutrients!$B$8,Nutrients!$EP$8,Nutrients!$EP$9)*AF$6)+(((IF($A$7=Nutrients!$B$79,Nutrients!$EP$79,(IF($A$7=Nutrients!$B$77,Nutrients!$EP$77,Nutrients!$EP$78)))))*AF$7))/2000*1000000</f>
        <v>0.19823788546255508</v>
      </c>
      <c r="AG326" s="58">
        <f>(SUMPRODUCT(AG$8:AG$217,Nutrients!$EP$8:$EP$217)+(IF($A$6=Nutrients!$B$8,Nutrients!$EP$8,Nutrients!$EP$9)*AG$6)+(((IF($A$7=Nutrients!$B$79,Nutrients!$EP$79,(IF($A$7=Nutrients!$B$77,Nutrients!$EP$77,Nutrients!$EP$78)))))*AG$7))/2000*1000000</f>
        <v>0.19823788546255508</v>
      </c>
      <c r="AH326" s="58">
        <f>(SUMPRODUCT(AH$8:AH$217,Nutrients!$EP$8:$EP$217)+(IF($A$6=Nutrients!$B$8,Nutrients!$EP$8,Nutrients!$EP$9)*AH$6)+(((IF($A$7=Nutrients!$B$79,Nutrients!$EP$79,(IF($A$7=Nutrients!$B$77,Nutrients!$EP$77,Nutrients!$EP$78)))))*AH$7))/2000*1000000</f>
        <v>0.19823788546255508</v>
      </c>
      <c r="AI326" s="58">
        <f>(SUMPRODUCT(AI$8:AI$217,Nutrients!$EP$8:$EP$217)+(IF($A$6=Nutrients!$B$8,Nutrients!$EP$8,Nutrients!$EP$9)*AI$6)+(((IF($A$7=Nutrients!$B$79,Nutrients!$EP$79,(IF($A$7=Nutrients!$B$77,Nutrients!$EP$77,Nutrients!$EP$78)))))*AI$7))/2000*1000000</f>
        <v>0.19823788546255508</v>
      </c>
      <c r="AJ326" s="58">
        <f>(SUMPRODUCT(AJ$8:AJ$217,Nutrients!$EP$8:$EP$217)+(IF($A$6=Nutrients!$B$8,Nutrients!$EP$8,Nutrients!$EP$9)*AJ$6)+(((IF($A$7=Nutrients!$B$79,Nutrients!$EP$79,(IF($A$7=Nutrients!$B$77,Nutrients!$EP$77,Nutrients!$EP$78)))))*AJ$7))/2000*1000000</f>
        <v>0.19823788546255508</v>
      </c>
    </row>
    <row r="327" spans="1:38" x14ac:dyDescent="0.15">
      <c r="A327" s="261" t="s">
        <v>112</v>
      </c>
      <c r="B327" s="56">
        <f>(SUMPRODUCT(B$8:B$217,Nutrients!$EQ$8:$EQ$217)+(IF($A$6=Nutrients!$B$8,Nutrients!$EQ$8,Nutrients!$EQ$9)*B$6)+(((IF($A$7=Nutrients!$B$79,Nutrients!$EQ$79,(IF($A$7=Nutrients!$B$77,Nutrients!$EQ$77,Nutrients!$EQ$78)))))*B$7))/2000*1000000000</f>
        <v>0</v>
      </c>
      <c r="C327" s="56">
        <f>(SUMPRODUCT(C$8:C$217,Nutrients!$EQ$8:$EQ$217)+(IF($A$6=Nutrients!$B$8,Nutrients!$EQ$8,Nutrients!$EQ$9)*C$6)+(((IF($A$7=Nutrients!$B$79,Nutrients!$EQ$79,(IF($A$7=Nutrients!$B$77,Nutrients!$EQ$77,Nutrients!$EQ$78)))))*C$7))/2000*1000000000</f>
        <v>0</v>
      </c>
      <c r="D327" s="56">
        <f>(SUMPRODUCT(D$8:D$217,Nutrients!$EQ$8:$EQ$217)+(IF($A$6=Nutrients!$B$8,Nutrients!$EQ$8,Nutrients!$EQ$9)*D$6)+(((IF($A$7=Nutrients!$B$79,Nutrients!$EQ$79,(IF($A$7=Nutrients!$B$77,Nutrients!$EQ$77,Nutrients!$EQ$78)))))*D$7))/2000*1000000000</f>
        <v>0</v>
      </c>
      <c r="E327" s="56">
        <f>(SUMPRODUCT(E$8:E$217,Nutrients!$EQ$8:$EQ$217)+(IF($A$6=Nutrients!$B$8,Nutrients!$EQ$8,Nutrients!$EQ$9)*E$6)+(((IF($A$7=Nutrients!$B$79,Nutrients!$EQ$79,(IF($A$7=Nutrients!$B$77,Nutrients!$EQ$77,Nutrients!$EQ$78)))))*E$7))/2000*1000000000</f>
        <v>0</v>
      </c>
      <c r="F327" s="56">
        <f>(SUMPRODUCT(F$8:F$217,Nutrients!$EQ$8:$EQ$217)+(IF($A$6=Nutrients!$B$8,Nutrients!$EQ$8,Nutrients!$EQ$9)*F$6)+(((IF($A$7=Nutrients!$B$79,Nutrients!$EQ$79,(IF($A$7=Nutrients!$B$77,Nutrients!$EQ$77,Nutrients!$EQ$78)))))*F$7))/2000*1000000000</f>
        <v>0</v>
      </c>
      <c r="G327" s="56">
        <f>(SUMPRODUCT(G$8:G$217,Nutrients!$EQ$8:$EQ$217)+(IF($A$6=Nutrients!$B$8,Nutrients!$EQ$8,Nutrients!$EQ$9)*G$6)+(((IF($A$7=Nutrients!$B$79,Nutrients!$EQ$79,(IF($A$7=Nutrients!$B$77,Nutrients!$EQ$77,Nutrients!$EQ$78)))))*G$7))/2000*1000000000</f>
        <v>0</v>
      </c>
      <c r="H327" s="436"/>
      <c r="I327" s="56">
        <f>(SUMPRODUCT(I$8:I$217,Nutrients!$EQ$8:$EQ$217)+(IF($A$6=Nutrients!$B$8,Nutrients!$EQ$8,Nutrients!$EQ$9)*I$6)+(((IF($A$7=Nutrients!$B$79,Nutrients!$EQ$79,(IF($A$7=Nutrients!$B$77,Nutrients!$EQ$77,Nutrients!$EQ$78)))))*I$7))/2000*1000000000</f>
        <v>0</v>
      </c>
      <c r="J327" s="56">
        <f>(SUMPRODUCT(J$8:J$217,Nutrients!$EQ$8:$EQ$217)+(IF($A$6=Nutrients!$B$8,Nutrients!$EQ$8,Nutrients!$EQ$9)*J$6)+(((IF($A$7=Nutrients!$B$79,Nutrients!$EQ$79,(IF($A$7=Nutrients!$B$77,Nutrients!$EQ$77,Nutrients!$EQ$78)))))*J$7))/2000*1000000000</f>
        <v>0</v>
      </c>
      <c r="K327" s="56">
        <f>(SUMPRODUCT(K$8:K$217,Nutrients!$EQ$8:$EQ$217)+(IF($A$6=Nutrients!$B$8,Nutrients!$EQ$8,Nutrients!$EQ$9)*K$6)+(((IF($A$7=Nutrients!$B$79,Nutrients!$EQ$79,(IF($A$7=Nutrients!$B$77,Nutrients!$EQ$77,Nutrients!$EQ$78)))))*K$7))/2000*1000000000</f>
        <v>0</v>
      </c>
      <c r="L327" s="56">
        <f>(SUMPRODUCT(L$8:L$217,Nutrients!$EQ$8:$EQ$217)+(IF($A$6=Nutrients!$B$8,Nutrients!$EQ$8,Nutrients!$EQ$9)*L$6)+(((IF($A$7=Nutrients!$B$79,Nutrients!$EQ$79,(IF($A$7=Nutrients!$B$77,Nutrients!$EQ$77,Nutrients!$EQ$78)))))*L$7))/2000*1000000000</f>
        <v>0</v>
      </c>
      <c r="M327" s="56">
        <f>(SUMPRODUCT(M$8:M$217,Nutrients!$EQ$8:$EQ$217)+(IF($A$6=Nutrients!$B$8,Nutrients!$EQ$8,Nutrients!$EQ$9)*M$6)+(((IF($A$7=Nutrients!$B$79,Nutrients!$EQ$79,(IF($A$7=Nutrients!$B$77,Nutrients!$EQ$77,Nutrients!$EQ$78)))))*M$7))/2000*1000000000</f>
        <v>0</v>
      </c>
      <c r="N327" s="56">
        <f>(SUMPRODUCT(N$8:N$217,Nutrients!$EQ$8:$EQ$217)+(IF($A$6=Nutrients!$B$8,Nutrients!$EQ$8,Nutrients!$EQ$9)*N$6)+(((IF($A$7=Nutrients!$B$79,Nutrients!$EQ$79,(IF($A$7=Nutrients!$B$77,Nutrients!$EQ$77,Nutrients!$EQ$78)))))*N$7))/2000*1000000000</f>
        <v>0</v>
      </c>
      <c r="O327" s="436"/>
      <c r="P327" s="56">
        <f>(SUMPRODUCT(P$8:P$217,Nutrients!$EQ$8:$EQ$217)+(IF($A$6=Nutrients!$B$8,Nutrients!$EQ$8,Nutrients!$EQ$9)*P$6)+(((IF($A$7=Nutrients!$B$79,Nutrients!$EQ$79,(IF($A$7=Nutrients!$B$77,Nutrients!$EQ$77,Nutrients!$EQ$78)))))*P$7))/2000*1000000000</f>
        <v>0</v>
      </c>
      <c r="Q327" s="56">
        <f>(SUMPRODUCT(Q$8:Q$217,Nutrients!$EQ$8:$EQ$217)+(IF($A$6=Nutrients!$B$8,Nutrients!$EQ$8,Nutrients!$EQ$9)*Q$6)+(((IF($A$7=Nutrients!$B$79,Nutrients!$EQ$79,(IF($A$7=Nutrients!$B$77,Nutrients!$EQ$77,Nutrients!$EQ$78)))))*Q$7))/2000*1000000000</f>
        <v>0</v>
      </c>
      <c r="R327" s="56">
        <f>(SUMPRODUCT(R$8:R$217,Nutrients!$EQ$8:$EQ$217)+(IF($A$6=Nutrients!$B$8,Nutrients!$EQ$8,Nutrients!$EQ$9)*R$6)+(((IF($A$7=Nutrients!$B$79,Nutrients!$EQ$79,(IF($A$7=Nutrients!$B$77,Nutrients!$EQ$77,Nutrients!$EQ$78)))))*R$7))/2000*1000000000</f>
        <v>0</v>
      </c>
      <c r="S327" s="56">
        <f>(SUMPRODUCT(S$8:S$217,Nutrients!$EQ$8:$EQ$217)+(IF($A$6=Nutrients!$B$8,Nutrients!$EQ$8,Nutrients!$EQ$9)*S$6)+(((IF($A$7=Nutrients!$B$79,Nutrients!$EQ$79,(IF($A$7=Nutrients!$B$77,Nutrients!$EQ$77,Nutrients!$EQ$78)))))*S$7))/2000*1000000000</f>
        <v>0</v>
      </c>
      <c r="T327" s="56">
        <f>(SUMPRODUCT(T$8:T$217,Nutrients!$EQ$8:$EQ$217)+(IF($A$6=Nutrients!$B$8,Nutrients!$EQ$8,Nutrients!$EQ$9)*T$6)+(((IF($A$7=Nutrients!$B$79,Nutrients!$EQ$79,(IF($A$7=Nutrients!$B$77,Nutrients!$EQ$77,Nutrients!$EQ$78)))))*T$7))/2000*1000000000</f>
        <v>0</v>
      </c>
      <c r="U327" s="56">
        <f>(SUMPRODUCT(U$8:U$217,Nutrients!$EQ$8:$EQ$217)+(IF($A$6=Nutrients!$B$8,Nutrients!$EQ$8,Nutrients!$EQ$9)*U$6)+(((IF($A$7=Nutrients!$B$79,Nutrients!$EQ$79,(IF($A$7=Nutrients!$B$77,Nutrients!$EQ$77,Nutrients!$EQ$78)))))*U$7))/2000*1000000000</f>
        <v>0</v>
      </c>
      <c r="V327" s="436"/>
      <c r="W327" s="56">
        <f>(SUMPRODUCT(W$8:W$217,Nutrients!$EQ$8:$EQ$217)+(IF($A$6=Nutrients!$B$8,Nutrients!$EQ$8,Nutrients!$EQ$9)*W$6)+(((IF($A$7=Nutrients!$B$79,Nutrients!$EQ$79,(IF($A$7=Nutrients!$B$77,Nutrients!$EQ$77,Nutrients!$EQ$78)))))*W$7))/2000*1000000000</f>
        <v>0</v>
      </c>
      <c r="X327" s="56">
        <f>(SUMPRODUCT(X$8:X$217,Nutrients!$EQ$8:$EQ$217)+(IF($A$6=Nutrients!$B$8,Nutrients!$EQ$8,Nutrients!$EQ$9)*X$6)+(((IF($A$7=Nutrients!$B$79,Nutrients!$EQ$79,(IF($A$7=Nutrients!$B$77,Nutrients!$EQ$77,Nutrients!$EQ$78)))))*X$7))/2000*1000000000</f>
        <v>0</v>
      </c>
      <c r="Y327" s="56">
        <f>(SUMPRODUCT(Y$8:Y$217,Nutrients!$EQ$8:$EQ$217)+(IF($A$6=Nutrients!$B$8,Nutrients!$EQ$8,Nutrients!$EQ$9)*Y$6)+(((IF($A$7=Nutrients!$B$79,Nutrients!$EQ$79,(IF($A$7=Nutrients!$B$77,Nutrients!$EQ$77,Nutrients!$EQ$78)))))*Y$7))/2000*1000000000</f>
        <v>0</v>
      </c>
      <c r="Z327" s="56">
        <f>(SUMPRODUCT(Z$8:Z$217,Nutrients!$EQ$8:$EQ$217)+(IF($A$6=Nutrients!$B$8,Nutrients!$EQ$8,Nutrients!$EQ$9)*Z$6)+(((IF($A$7=Nutrients!$B$79,Nutrients!$EQ$79,(IF($A$7=Nutrients!$B$77,Nutrients!$EQ$77,Nutrients!$EQ$78)))))*Z$7))/2000*1000000000</f>
        <v>0</v>
      </c>
      <c r="AA327" s="56">
        <f>(SUMPRODUCT(AA$8:AA$217,Nutrients!$EQ$8:$EQ$217)+(IF($A$6=Nutrients!$B$8,Nutrients!$EQ$8,Nutrients!$EQ$9)*AA$6)+(((IF($A$7=Nutrients!$B$79,Nutrients!$EQ$79,(IF($A$7=Nutrients!$B$77,Nutrients!$EQ$77,Nutrients!$EQ$78)))))*AA$7))/2000*1000000000</f>
        <v>0</v>
      </c>
      <c r="AB327" s="56">
        <f>(SUMPRODUCT(AB$8:AB$217,Nutrients!$EQ$8:$EQ$217)+(IF($A$6=Nutrients!$B$8,Nutrients!$EQ$8,Nutrients!$EQ$9)*AB$6)+(((IF($A$7=Nutrients!$B$79,Nutrients!$EQ$79,(IF($A$7=Nutrients!$B$77,Nutrients!$EQ$77,Nutrients!$EQ$78)))))*AB$7))/2000*1000000000</f>
        <v>0</v>
      </c>
      <c r="AC327" s="56">
        <f>(SUMPRODUCT(AC$8:AC$217,Nutrients!$EQ$8:$EQ$217)+(IF($A$6=Nutrients!$B$8,Nutrients!$EQ$8,Nutrients!$EQ$9)*AC$6)+(((IF($A$7=Nutrients!$B$79,Nutrients!$EQ$79,(IF($A$7=Nutrients!$B$77,Nutrients!$EQ$77,Nutrients!$EQ$78)))))*AC$7))/2000*1000000000</f>
        <v>0</v>
      </c>
      <c r="AD327" s="436"/>
      <c r="AE327" s="56">
        <f>(SUMPRODUCT(AE$8:AE$217,Nutrients!$EQ$8:$EQ$217)+(IF($A$6=Nutrients!$B$8,Nutrients!$EQ$8,Nutrients!$EQ$9)*AE$6)+(((IF($A$7=Nutrients!$B$79,Nutrients!$EQ$79,(IF($A$7=Nutrients!$B$77,Nutrients!$EQ$77,Nutrients!$EQ$78)))))*AE$7))/2000*1000000000</f>
        <v>0</v>
      </c>
      <c r="AF327" s="56">
        <f>(SUMPRODUCT(AF$8:AF$217,Nutrients!$EQ$8:$EQ$217)+(IF($A$6=Nutrients!$B$8,Nutrients!$EQ$8,Nutrients!$EQ$9)*AF$6)+(((IF($A$7=Nutrients!$B$79,Nutrients!$EQ$79,(IF($A$7=Nutrients!$B$77,Nutrients!$EQ$77,Nutrients!$EQ$78)))))*AF$7))/2000*1000000000</f>
        <v>0</v>
      </c>
      <c r="AG327" s="56">
        <f>(SUMPRODUCT(AG$8:AG$217,Nutrients!$EQ$8:$EQ$217)+(IF($A$6=Nutrients!$B$8,Nutrients!$EQ$8,Nutrients!$EQ$9)*AG$6)+(((IF($A$7=Nutrients!$B$79,Nutrients!$EQ$79,(IF($A$7=Nutrients!$B$77,Nutrients!$EQ$77,Nutrients!$EQ$78)))))*AG$7))/2000*1000000000</f>
        <v>0</v>
      </c>
      <c r="AH327" s="56">
        <f>(SUMPRODUCT(AH$8:AH$217,Nutrients!$EQ$8:$EQ$217)+(IF($A$6=Nutrients!$B$8,Nutrients!$EQ$8,Nutrients!$EQ$9)*AH$6)+(((IF($A$7=Nutrients!$B$79,Nutrients!$EQ$79,(IF($A$7=Nutrients!$B$77,Nutrients!$EQ$77,Nutrients!$EQ$78)))))*AH$7))/2000*1000000000</f>
        <v>0</v>
      </c>
      <c r="AI327" s="56">
        <f>(SUMPRODUCT(AI$8:AI$217,Nutrients!$EQ$8:$EQ$217)+(IF($A$6=Nutrients!$B$8,Nutrients!$EQ$8,Nutrients!$EQ$9)*AI$6)+(((IF($A$7=Nutrients!$B$79,Nutrients!$EQ$79,(IF($A$7=Nutrients!$B$77,Nutrients!$EQ$77,Nutrients!$EQ$78)))))*AI$7))/2000*1000000000</f>
        <v>0</v>
      </c>
      <c r="AJ327" s="56">
        <f>(SUMPRODUCT(AJ$8:AJ$217,Nutrients!$EQ$8:$EQ$217)+(IF($A$6=Nutrients!$B$8,Nutrients!$EQ$8,Nutrients!$EQ$9)*AJ$6)+(((IF($A$7=Nutrients!$B$79,Nutrients!$EQ$79,(IF($A$7=Nutrients!$B$77,Nutrients!$EQ$77,Nutrients!$EQ$78)))))*AJ$7))/2000*1000000000</f>
        <v>0</v>
      </c>
    </row>
    <row r="329" spans="1:38" x14ac:dyDescent="0.15">
      <c r="A329" s="261" t="s">
        <v>113</v>
      </c>
    </row>
    <row r="330" spans="1:38" x14ac:dyDescent="0.15">
      <c r="A330" s="261" t="s">
        <v>115</v>
      </c>
      <c r="B330" s="56">
        <f>(SUMPRODUCT(B$8:B$217,Nutrients!$ES$8:$ES$217)+(IF($A$6=Nutrients!$B$8,Nutrients!$ES$8,Nutrients!$ES$9)*B$6)+(((IF($A$7=Nutrients!$B$79,Nutrients!$ES$79,(IF($A$7=Nutrients!$B$77,Nutrients!$ES$77,Nutrients!$ES$78)))))*B$7))</f>
        <v>3750000</v>
      </c>
      <c r="C330" s="56">
        <f>(SUMPRODUCT(C$8:C$217,Nutrients!$ES$8:$ES$217)+(IF($A$6=Nutrients!$B$8,Nutrients!$ES$8,Nutrients!$ES$9)*C$6)+(((IF($A$7=Nutrients!$B$79,Nutrients!$ES$79,(IF($A$7=Nutrients!$B$77,Nutrients!$ES$77,Nutrients!$ES$78)))))*C$7))</f>
        <v>3750000</v>
      </c>
      <c r="D330" s="56">
        <f>(SUMPRODUCT(D$8:D$217,Nutrients!$ES$8:$ES$217)+(IF($A$6=Nutrients!$B$8,Nutrients!$ES$8,Nutrients!$ES$9)*D$6)+(((IF($A$7=Nutrients!$B$79,Nutrients!$ES$79,(IF($A$7=Nutrients!$B$77,Nutrients!$ES$77,Nutrients!$ES$78)))))*D$7))</f>
        <v>3750000</v>
      </c>
      <c r="E330" s="56">
        <f>(SUMPRODUCT(E$8:E$217,Nutrients!$ES$8:$ES$217)+(IF($A$6=Nutrients!$B$8,Nutrients!$ES$8,Nutrients!$ES$9)*E$6)+(((IF($A$7=Nutrients!$B$79,Nutrients!$ES$79,(IF($A$7=Nutrients!$B$77,Nutrients!$ES$77,Nutrients!$ES$78)))))*E$7))</f>
        <v>3750000</v>
      </c>
      <c r="F330" s="56">
        <f>(SUMPRODUCT(F$8:F$217,Nutrients!$ES$8:$ES$217)+(IF($A$6=Nutrients!$B$8,Nutrients!$ES$8,Nutrients!$ES$9)*F$6)+(((IF($A$7=Nutrients!$B$79,Nutrients!$ES$79,(IF($A$7=Nutrients!$B$77,Nutrients!$ES$77,Nutrients!$ES$78)))))*F$7))</f>
        <v>3750000</v>
      </c>
      <c r="G330" s="56">
        <f>(SUMPRODUCT(G$8:G$217,Nutrients!$ES$8:$ES$217)+(IF($A$6=Nutrients!$B$8,Nutrients!$ES$8,Nutrients!$ES$9)*G$6)+(((IF($A$7=Nutrients!$B$79,Nutrients!$ES$79,(IF($A$7=Nutrients!$B$77,Nutrients!$ES$77,Nutrients!$ES$78)))))*G$7))</f>
        <v>3750000</v>
      </c>
      <c r="H330" s="436"/>
      <c r="I330" s="56">
        <f>(SUMPRODUCT(I$8:I$217,Nutrients!$ES$8:$ES$217)+(IF($A$6=Nutrients!$B$8,Nutrients!$ES$8,Nutrients!$ES$9)*I$6)+(((IF($A$7=Nutrients!$B$79,Nutrients!$ES$79,(IF($A$7=Nutrients!$B$77,Nutrients!$ES$77,Nutrients!$ES$78)))))*I$7))</f>
        <v>2250000</v>
      </c>
      <c r="J330" s="56">
        <f>(SUMPRODUCT(J$8:J$217,Nutrients!$ES$8:$ES$217)+(IF($A$6=Nutrients!$B$8,Nutrients!$ES$8,Nutrients!$ES$9)*J$6)+(((IF($A$7=Nutrients!$B$79,Nutrients!$ES$79,(IF($A$7=Nutrients!$B$77,Nutrients!$ES$77,Nutrients!$ES$78)))))*J$7))</f>
        <v>2250000</v>
      </c>
      <c r="K330" s="56">
        <f>(SUMPRODUCT(K$8:K$217,Nutrients!$ES$8:$ES$217)+(IF($A$6=Nutrients!$B$8,Nutrients!$ES$8,Nutrients!$ES$9)*K$6)+(((IF($A$7=Nutrients!$B$79,Nutrients!$ES$79,(IF($A$7=Nutrients!$B$77,Nutrients!$ES$77,Nutrients!$ES$78)))))*K$7))</f>
        <v>2250000</v>
      </c>
      <c r="L330" s="56">
        <f>(SUMPRODUCT(L$8:L$217,Nutrients!$ES$8:$ES$217)+(IF($A$6=Nutrients!$B$8,Nutrients!$ES$8,Nutrients!$ES$9)*L$6)+(((IF($A$7=Nutrients!$B$79,Nutrients!$ES$79,(IF($A$7=Nutrients!$B$77,Nutrients!$ES$77,Nutrients!$ES$78)))))*L$7))</f>
        <v>2250000</v>
      </c>
      <c r="M330" s="56">
        <f>(SUMPRODUCT(M$8:M$217,Nutrients!$ES$8:$ES$217)+(IF($A$6=Nutrients!$B$8,Nutrients!$ES$8,Nutrients!$ES$9)*M$6)+(((IF($A$7=Nutrients!$B$79,Nutrients!$ES$79,(IF($A$7=Nutrients!$B$77,Nutrients!$ES$77,Nutrients!$ES$78)))))*M$7))</f>
        <v>2250000</v>
      </c>
      <c r="N330" s="56">
        <f>(SUMPRODUCT(N$8:N$217,Nutrients!$ES$8:$ES$217)+(IF($A$6=Nutrients!$B$8,Nutrients!$ES$8,Nutrients!$ES$9)*N$6)+(((IF($A$7=Nutrients!$B$79,Nutrients!$ES$79,(IF($A$7=Nutrients!$B$77,Nutrients!$ES$77,Nutrients!$ES$78)))))*N$7))</f>
        <v>2250000</v>
      </c>
      <c r="O330" s="436"/>
      <c r="P330" s="56">
        <f>(SUMPRODUCT(P$8:P$217,Nutrients!$ES$8:$ES$217)+(IF($A$6=Nutrients!$B$8,Nutrients!$ES$8,Nutrients!$ES$9)*P$6)+(((IF($A$7=Nutrients!$B$79,Nutrients!$ES$79,(IF($A$7=Nutrients!$B$77,Nutrients!$ES$77,Nutrients!$ES$78)))))*P$7))</f>
        <v>1500000</v>
      </c>
      <c r="Q330" s="56">
        <f>(SUMPRODUCT(Q$8:Q$217,Nutrients!$ES$8:$ES$217)+(IF($A$6=Nutrients!$B$8,Nutrients!$ES$8,Nutrients!$ES$9)*Q$6)+(((IF($A$7=Nutrients!$B$79,Nutrients!$ES$79,(IF($A$7=Nutrients!$B$77,Nutrients!$ES$77,Nutrients!$ES$78)))))*Q$7))</f>
        <v>1500000</v>
      </c>
      <c r="R330" s="56">
        <f>(SUMPRODUCT(R$8:R$217,Nutrients!$ES$8:$ES$217)+(IF($A$6=Nutrients!$B$8,Nutrients!$ES$8,Nutrients!$ES$9)*R$6)+(((IF($A$7=Nutrients!$B$79,Nutrients!$ES$79,(IF($A$7=Nutrients!$B$77,Nutrients!$ES$77,Nutrients!$ES$78)))))*R$7))</f>
        <v>1500000</v>
      </c>
      <c r="S330" s="56">
        <f>(SUMPRODUCT(S$8:S$217,Nutrients!$ES$8:$ES$217)+(IF($A$6=Nutrients!$B$8,Nutrients!$ES$8,Nutrients!$ES$9)*S$6)+(((IF($A$7=Nutrients!$B$79,Nutrients!$ES$79,(IF($A$7=Nutrients!$B$77,Nutrients!$ES$77,Nutrients!$ES$78)))))*S$7))</f>
        <v>1500000</v>
      </c>
      <c r="T330" s="56">
        <f>(SUMPRODUCT(T$8:T$217,Nutrients!$ES$8:$ES$217)+(IF($A$6=Nutrients!$B$8,Nutrients!$ES$8,Nutrients!$ES$9)*T$6)+(((IF($A$7=Nutrients!$B$79,Nutrients!$ES$79,(IF($A$7=Nutrients!$B$77,Nutrients!$ES$77,Nutrients!$ES$78)))))*T$7))</f>
        <v>1500000</v>
      </c>
      <c r="U330" s="56">
        <f>(SUMPRODUCT(U$8:U$217,Nutrients!$ES$8:$ES$217)+(IF($A$6=Nutrients!$B$8,Nutrients!$ES$8,Nutrients!$ES$9)*U$6)+(((IF($A$7=Nutrients!$B$79,Nutrients!$ES$79,(IF($A$7=Nutrients!$B$77,Nutrients!$ES$77,Nutrients!$ES$78)))))*U$7))</f>
        <v>1500000</v>
      </c>
      <c r="V330" s="436"/>
      <c r="W330" s="56">
        <f>(SUMPRODUCT(W$8:W$217,Nutrients!$ES$8:$ES$217)+(IF($A$6=Nutrients!$B$8,Nutrients!$ES$8,Nutrients!$ES$9)*W$6)+(((IF($A$7=Nutrients!$B$79,Nutrients!$ES$79,(IF($A$7=Nutrients!$B$77,Nutrients!$ES$77,Nutrients!$ES$78)))))*W$7))</f>
        <v>1500000</v>
      </c>
      <c r="X330" s="56">
        <f>(SUMPRODUCT(X$8:X$217,Nutrients!$ES$8:$ES$217)+(IF($A$6=Nutrients!$B$8,Nutrients!$ES$8,Nutrients!$ES$9)*X$6)+(((IF($A$7=Nutrients!$B$79,Nutrients!$ES$79,(IF($A$7=Nutrients!$B$77,Nutrients!$ES$77,Nutrients!$ES$78)))))*X$7))</f>
        <v>1500000</v>
      </c>
      <c r="Y330" s="56">
        <f>(SUMPRODUCT(Y$8:Y$217,Nutrients!$ES$8:$ES$217)+(IF($A$6=Nutrients!$B$8,Nutrients!$ES$8,Nutrients!$ES$9)*Y$6)+(((IF($A$7=Nutrients!$B$79,Nutrients!$ES$79,(IF($A$7=Nutrients!$B$77,Nutrients!$ES$77,Nutrients!$ES$78)))))*Y$7))</f>
        <v>1500000</v>
      </c>
      <c r="Z330" s="56">
        <f>(SUMPRODUCT(Z$8:Z$217,Nutrients!$ES$8:$ES$217)+(IF($A$6=Nutrients!$B$8,Nutrients!$ES$8,Nutrients!$ES$9)*Z$6)+(((IF($A$7=Nutrients!$B$79,Nutrients!$ES$79,(IF($A$7=Nutrients!$B$77,Nutrients!$ES$77,Nutrients!$ES$78)))))*Z$7))</f>
        <v>1500000</v>
      </c>
      <c r="AA330" s="56">
        <f>(SUMPRODUCT(AA$8:AA$217,Nutrients!$ES$8:$ES$217)+(IF($A$6=Nutrients!$B$8,Nutrients!$ES$8,Nutrients!$ES$9)*AA$6)+(((IF($A$7=Nutrients!$B$79,Nutrients!$ES$79,(IF($A$7=Nutrients!$B$77,Nutrients!$ES$77,Nutrients!$ES$78)))))*AA$7))</f>
        <v>1500000</v>
      </c>
      <c r="AB330" s="56">
        <f>(SUMPRODUCT(AB$8:AB$217,Nutrients!$ES$8:$ES$217)+(IF($A$6=Nutrients!$B$8,Nutrients!$ES$8,Nutrients!$ES$9)*AB$6)+(((IF($A$7=Nutrients!$B$79,Nutrients!$ES$79,(IF($A$7=Nutrients!$B$77,Nutrients!$ES$77,Nutrients!$ES$78)))))*AB$7))</f>
        <v>1500000</v>
      </c>
      <c r="AC330" s="56">
        <f>(SUMPRODUCT(AC$8:AC$217,Nutrients!$ES$8:$ES$217)+(IF($A$6=Nutrients!$B$8,Nutrients!$ES$8,Nutrients!$ES$9)*AC$6)+(((IF($A$7=Nutrients!$B$79,Nutrients!$ES$79,(IF($A$7=Nutrients!$B$77,Nutrients!$ES$77,Nutrients!$ES$78)))))*AC$7))</f>
        <v>1500000</v>
      </c>
      <c r="AD330" s="436"/>
      <c r="AE330" s="56">
        <f>(SUMPRODUCT(AE$8:AE$217,Nutrients!$ES$8:$ES$217)+(IF($A$6=Nutrients!$B$8,Nutrients!$ES$8,Nutrients!$ES$9)*AE$6)+(((IF($A$7=Nutrients!$B$79,Nutrients!$ES$79,(IF($A$7=Nutrients!$B$77,Nutrients!$ES$77,Nutrients!$ES$78)))))*AE$7))</f>
        <v>1500000</v>
      </c>
      <c r="AF330" s="56">
        <f>(SUMPRODUCT(AF$8:AF$217,Nutrients!$ES$8:$ES$217)+(IF($A$6=Nutrients!$B$8,Nutrients!$ES$8,Nutrients!$ES$9)*AF$6)+(((IF($A$7=Nutrients!$B$79,Nutrients!$ES$79,(IF($A$7=Nutrients!$B$77,Nutrients!$ES$77,Nutrients!$ES$78)))))*AF$7))</f>
        <v>1500000</v>
      </c>
      <c r="AG330" s="56">
        <f>(SUMPRODUCT(AG$8:AG$217,Nutrients!$ES$8:$ES$217)+(IF($A$6=Nutrients!$B$8,Nutrients!$ES$8,Nutrients!$ES$9)*AG$6)+(((IF($A$7=Nutrients!$B$79,Nutrients!$ES$79,(IF($A$7=Nutrients!$B$77,Nutrients!$ES$77,Nutrients!$ES$78)))))*AG$7))</f>
        <v>1500000</v>
      </c>
      <c r="AH330" s="56">
        <f>(SUMPRODUCT(AH$8:AH$217,Nutrients!$ES$8:$ES$217)+(IF($A$6=Nutrients!$B$8,Nutrients!$ES$8,Nutrients!$ES$9)*AH$6)+(((IF($A$7=Nutrients!$B$79,Nutrients!$ES$79,(IF($A$7=Nutrients!$B$77,Nutrients!$ES$77,Nutrients!$ES$78)))))*AH$7))</f>
        <v>1500000</v>
      </c>
      <c r="AI330" s="56">
        <f>(SUMPRODUCT(AI$8:AI$217,Nutrients!$ES$8:$ES$217)+(IF($A$6=Nutrients!$B$8,Nutrients!$ES$8,Nutrients!$ES$9)*AI$6)+(((IF($A$7=Nutrients!$B$79,Nutrients!$ES$79,(IF($A$7=Nutrients!$B$77,Nutrients!$ES$77,Nutrients!$ES$78)))))*AI$7))</f>
        <v>1500000</v>
      </c>
      <c r="AJ330" s="56">
        <f>(SUMPRODUCT(AJ$8:AJ$217,Nutrients!$ES$8:$ES$217)+(IF($A$6=Nutrients!$B$8,Nutrients!$ES$8,Nutrients!$ES$9)*AJ$6)+(((IF($A$7=Nutrients!$B$79,Nutrients!$ES$79,(IF($A$7=Nutrients!$B$77,Nutrients!$ES$77,Nutrients!$ES$78)))))*AJ$7))</f>
        <v>1500000</v>
      </c>
      <c r="AK330" s="56"/>
      <c r="AL330" s="56"/>
    </row>
    <row r="331" spans="1:38" x14ac:dyDescent="0.15">
      <c r="A331" s="261" t="s">
        <v>116</v>
      </c>
      <c r="B331" s="56">
        <f>(SUMPRODUCT(B$8:B$217,Nutrients!$ET$8:$ET$217)+(IF($A$6=Nutrients!$B$8,Nutrients!$ET$8,Nutrients!$ET$9)*B$6)+(((IF($A$7=Nutrients!$B$79,Nutrients!$ET$79,(IF($A$7=Nutrients!$B$77,Nutrients!$ET$77,Nutrients!$ET$78)))))*B$7))</f>
        <v>1500000</v>
      </c>
      <c r="C331" s="56">
        <f>(SUMPRODUCT(C$8:C$217,Nutrients!$ET$8:$ET$217)+(IF($A$6=Nutrients!$B$8,Nutrients!$ET$8,Nutrients!$ET$9)*C$6)+(((IF($A$7=Nutrients!$B$79,Nutrients!$ET$79,(IF($A$7=Nutrients!$B$77,Nutrients!$ET$77,Nutrients!$ET$78)))))*C$7))</f>
        <v>1500000</v>
      </c>
      <c r="D331" s="56">
        <f>(SUMPRODUCT(D$8:D$217,Nutrients!$ET$8:$ET$217)+(IF($A$6=Nutrients!$B$8,Nutrients!$ET$8,Nutrients!$ET$9)*D$6)+(((IF($A$7=Nutrients!$B$79,Nutrients!$ET$79,(IF($A$7=Nutrients!$B$77,Nutrients!$ET$77,Nutrients!$ET$78)))))*D$7))</f>
        <v>1500000</v>
      </c>
      <c r="E331" s="56">
        <f>(SUMPRODUCT(E$8:E$217,Nutrients!$ET$8:$ET$217)+(IF($A$6=Nutrients!$B$8,Nutrients!$ET$8,Nutrients!$ET$9)*E$6)+(((IF($A$7=Nutrients!$B$79,Nutrients!$ET$79,(IF($A$7=Nutrients!$B$77,Nutrients!$ET$77,Nutrients!$ET$78)))))*E$7))</f>
        <v>1500000</v>
      </c>
      <c r="F331" s="56">
        <f>(SUMPRODUCT(F$8:F$217,Nutrients!$ET$8:$ET$217)+(IF($A$6=Nutrients!$B$8,Nutrients!$ET$8,Nutrients!$ET$9)*F$6)+(((IF($A$7=Nutrients!$B$79,Nutrients!$ET$79,(IF($A$7=Nutrients!$B$77,Nutrients!$ET$77,Nutrients!$ET$78)))))*F$7))</f>
        <v>1500000</v>
      </c>
      <c r="G331" s="56">
        <f>(SUMPRODUCT(G$8:G$217,Nutrients!$ET$8:$ET$217)+(IF($A$6=Nutrients!$B$8,Nutrients!$ET$8,Nutrients!$ET$9)*G$6)+(((IF($A$7=Nutrients!$B$79,Nutrients!$ET$79,(IF($A$7=Nutrients!$B$77,Nutrients!$ET$77,Nutrients!$ET$78)))))*G$7))</f>
        <v>1500000</v>
      </c>
      <c r="H331" s="436"/>
      <c r="I331" s="56">
        <f>(SUMPRODUCT(I$8:I$217,Nutrients!$ET$8:$ET$217)+(IF($A$6=Nutrients!$B$8,Nutrients!$ET$8,Nutrients!$ET$9)*I$6)+(((IF($A$7=Nutrients!$B$79,Nutrients!$ET$79,(IF($A$7=Nutrients!$B$77,Nutrients!$ET$77,Nutrients!$ET$78)))))*I$7))</f>
        <v>900000</v>
      </c>
      <c r="J331" s="56">
        <f>(SUMPRODUCT(J$8:J$217,Nutrients!$ET$8:$ET$217)+(IF($A$6=Nutrients!$B$8,Nutrients!$ET$8,Nutrients!$ET$9)*J$6)+(((IF($A$7=Nutrients!$B$79,Nutrients!$ET$79,(IF($A$7=Nutrients!$B$77,Nutrients!$ET$77,Nutrients!$ET$78)))))*J$7))</f>
        <v>900000</v>
      </c>
      <c r="K331" s="56">
        <f>(SUMPRODUCT(K$8:K$217,Nutrients!$ET$8:$ET$217)+(IF($A$6=Nutrients!$B$8,Nutrients!$ET$8,Nutrients!$ET$9)*K$6)+(((IF($A$7=Nutrients!$B$79,Nutrients!$ET$79,(IF($A$7=Nutrients!$B$77,Nutrients!$ET$77,Nutrients!$ET$78)))))*K$7))</f>
        <v>900000</v>
      </c>
      <c r="L331" s="56">
        <f>(SUMPRODUCT(L$8:L$217,Nutrients!$ET$8:$ET$217)+(IF($A$6=Nutrients!$B$8,Nutrients!$ET$8,Nutrients!$ET$9)*L$6)+(((IF($A$7=Nutrients!$B$79,Nutrients!$ET$79,(IF($A$7=Nutrients!$B$77,Nutrients!$ET$77,Nutrients!$ET$78)))))*L$7))</f>
        <v>900000</v>
      </c>
      <c r="M331" s="56">
        <f>(SUMPRODUCT(M$8:M$217,Nutrients!$ET$8:$ET$217)+(IF($A$6=Nutrients!$B$8,Nutrients!$ET$8,Nutrients!$ET$9)*M$6)+(((IF($A$7=Nutrients!$B$79,Nutrients!$ET$79,(IF($A$7=Nutrients!$B$77,Nutrients!$ET$77,Nutrients!$ET$78)))))*M$7))</f>
        <v>900000</v>
      </c>
      <c r="N331" s="56">
        <f>(SUMPRODUCT(N$8:N$217,Nutrients!$ET$8:$ET$217)+(IF($A$6=Nutrients!$B$8,Nutrients!$ET$8,Nutrients!$ET$9)*N$6)+(((IF($A$7=Nutrients!$B$79,Nutrients!$ET$79,(IF($A$7=Nutrients!$B$77,Nutrients!$ET$77,Nutrients!$ET$78)))))*N$7))</f>
        <v>900000</v>
      </c>
      <c r="O331" s="436"/>
      <c r="P331" s="56">
        <f>(SUMPRODUCT(P$8:P$217,Nutrients!$ET$8:$ET$217)+(IF($A$6=Nutrients!$B$8,Nutrients!$ET$8,Nutrients!$ET$9)*P$6)+(((IF($A$7=Nutrients!$B$79,Nutrients!$ET$79,(IF($A$7=Nutrients!$B$77,Nutrients!$ET$77,Nutrients!$ET$78)))))*P$7))</f>
        <v>600000</v>
      </c>
      <c r="Q331" s="56">
        <f>(SUMPRODUCT(Q$8:Q$217,Nutrients!$ET$8:$ET$217)+(IF($A$6=Nutrients!$B$8,Nutrients!$ET$8,Nutrients!$ET$9)*Q$6)+(((IF($A$7=Nutrients!$B$79,Nutrients!$ET$79,(IF($A$7=Nutrients!$B$77,Nutrients!$ET$77,Nutrients!$ET$78)))))*Q$7))</f>
        <v>600000</v>
      </c>
      <c r="R331" s="56">
        <f>(SUMPRODUCT(R$8:R$217,Nutrients!$ET$8:$ET$217)+(IF($A$6=Nutrients!$B$8,Nutrients!$ET$8,Nutrients!$ET$9)*R$6)+(((IF($A$7=Nutrients!$B$79,Nutrients!$ET$79,(IF($A$7=Nutrients!$B$77,Nutrients!$ET$77,Nutrients!$ET$78)))))*R$7))</f>
        <v>600000</v>
      </c>
      <c r="S331" s="56">
        <f>(SUMPRODUCT(S$8:S$217,Nutrients!$ET$8:$ET$217)+(IF($A$6=Nutrients!$B$8,Nutrients!$ET$8,Nutrients!$ET$9)*S$6)+(((IF($A$7=Nutrients!$B$79,Nutrients!$ET$79,(IF($A$7=Nutrients!$B$77,Nutrients!$ET$77,Nutrients!$ET$78)))))*S$7))</f>
        <v>600000</v>
      </c>
      <c r="T331" s="56">
        <f>(SUMPRODUCT(T$8:T$217,Nutrients!$ET$8:$ET$217)+(IF($A$6=Nutrients!$B$8,Nutrients!$ET$8,Nutrients!$ET$9)*T$6)+(((IF($A$7=Nutrients!$B$79,Nutrients!$ET$79,(IF($A$7=Nutrients!$B$77,Nutrients!$ET$77,Nutrients!$ET$78)))))*T$7))</f>
        <v>600000</v>
      </c>
      <c r="U331" s="56">
        <f>(SUMPRODUCT(U$8:U$217,Nutrients!$ET$8:$ET$217)+(IF($A$6=Nutrients!$B$8,Nutrients!$ET$8,Nutrients!$ET$9)*U$6)+(((IF($A$7=Nutrients!$B$79,Nutrients!$ET$79,(IF($A$7=Nutrients!$B$77,Nutrients!$ET$77,Nutrients!$ET$78)))))*U$7))</f>
        <v>600000</v>
      </c>
      <c r="V331" s="436"/>
      <c r="W331" s="56">
        <f>(SUMPRODUCT(W$8:W$217,Nutrients!$ET$8:$ET$217)+(IF($A$6=Nutrients!$B$8,Nutrients!$ET$8,Nutrients!$ET$9)*W$6)+(((IF($A$7=Nutrients!$B$79,Nutrients!$ET$79,(IF($A$7=Nutrients!$B$77,Nutrients!$ET$77,Nutrients!$ET$78)))))*W$7))</f>
        <v>600000</v>
      </c>
      <c r="X331" s="56">
        <f>(SUMPRODUCT(X$8:X$217,Nutrients!$ET$8:$ET$217)+(IF($A$6=Nutrients!$B$8,Nutrients!$ET$8,Nutrients!$ET$9)*X$6)+(((IF($A$7=Nutrients!$B$79,Nutrients!$ET$79,(IF($A$7=Nutrients!$B$77,Nutrients!$ET$77,Nutrients!$ET$78)))))*X$7))</f>
        <v>600000</v>
      </c>
      <c r="Y331" s="56">
        <f>(SUMPRODUCT(Y$8:Y$217,Nutrients!$ET$8:$ET$217)+(IF($A$6=Nutrients!$B$8,Nutrients!$ET$8,Nutrients!$ET$9)*Y$6)+(((IF($A$7=Nutrients!$B$79,Nutrients!$ET$79,(IF($A$7=Nutrients!$B$77,Nutrients!$ET$77,Nutrients!$ET$78)))))*Y$7))</f>
        <v>600000</v>
      </c>
      <c r="Z331" s="56">
        <f>(SUMPRODUCT(Z$8:Z$217,Nutrients!$ET$8:$ET$217)+(IF($A$6=Nutrients!$B$8,Nutrients!$ET$8,Nutrients!$ET$9)*Z$6)+(((IF($A$7=Nutrients!$B$79,Nutrients!$ET$79,(IF($A$7=Nutrients!$B$77,Nutrients!$ET$77,Nutrients!$ET$78)))))*Z$7))</f>
        <v>600000</v>
      </c>
      <c r="AA331" s="56">
        <f>(SUMPRODUCT(AA$8:AA$217,Nutrients!$ET$8:$ET$217)+(IF($A$6=Nutrients!$B$8,Nutrients!$ET$8,Nutrients!$ET$9)*AA$6)+(((IF($A$7=Nutrients!$B$79,Nutrients!$ET$79,(IF($A$7=Nutrients!$B$77,Nutrients!$ET$77,Nutrients!$ET$78)))))*AA$7))</f>
        <v>600000</v>
      </c>
      <c r="AB331" s="56">
        <f>(SUMPRODUCT(AB$8:AB$217,Nutrients!$ET$8:$ET$217)+(IF($A$6=Nutrients!$B$8,Nutrients!$ET$8,Nutrients!$ET$9)*AB$6)+(((IF($A$7=Nutrients!$B$79,Nutrients!$ET$79,(IF($A$7=Nutrients!$B$77,Nutrients!$ET$77,Nutrients!$ET$78)))))*AB$7))</f>
        <v>600000</v>
      </c>
      <c r="AC331" s="56">
        <f>(SUMPRODUCT(AC$8:AC$217,Nutrients!$ET$8:$ET$217)+(IF($A$6=Nutrients!$B$8,Nutrients!$ET$8,Nutrients!$ET$9)*AC$6)+(((IF($A$7=Nutrients!$B$79,Nutrients!$ET$79,(IF($A$7=Nutrients!$B$77,Nutrients!$ET$77,Nutrients!$ET$78)))))*AC$7))</f>
        <v>600000</v>
      </c>
      <c r="AD331" s="436"/>
      <c r="AE331" s="56">
        <f>(SUMPRODUCT(AE$8:AE$217,Nutrients!$ET$8:$ET$217)+(IF($A$6=Nutrients!$B$8,Nutrients!$ET$8,Nutrients!$ET$9)*AE$6)+(((IF($A$7=Nutrients!$B$79,Nutrients!$ET$79,(IF($A$7=Nutrients!$B$77,Nutrients!$ET$77,Nutrients!$ET$78)))))*AE$7))</f>
        <v>600000</v>
      </c>
      <c r="AF331" s="56">
        <f>(SUMPRODUCT(AF$8:AF$217,Nutrients!$ET$8:$ET$217)+(IF($A$6=Nutrients!$B$8,Nutrients!$ET$8,Nutrients!$ET$9)*AF$6)+(((IF($A$7=Nutrients!$B$79,Nutrients!$ET$79,(IF($A$7=Nutrients!$B$77,Nutrients!$ET$77,Nutrients!$ET$78)))))*AF$7))</f>
        <v>600000</v>
      </c>
      <c r="AG331" s="56">
        <f>(SUMPRODUCT(AG$8:AG$217,Nutrients!$ET$8:$ET$217)+(IF($A$6=Nutrients!$B$8,Nutrients!$ET$8,Nutrients!$ET$9)*AG$6)+(((IF($A$7=Nutrients!$B$79,Nutrients!$ET$79,(IF($A$7=Nutrients!$B$77,Nutrients!$ET$77,Nutrients!$ET$78)))))*AG$7))</f>
        <v>600000</v>
      </c>
      <c r="AH331" s="56">
        <f>(SUMPRODUCT(AH$8:AH$217,Nutrients!$ET$8:$ET$217)+(IF($A$6=Nutrients!$B$8,Nutrients!$ET$8,Nutrients!$ET$9)*AH$6)+(((IF($A$7=Nutrients!$B$79,Nutrients!$ET$79,(IF($A$7=Nutrients!$B$77,Nutrients!$ET$77,Nutrients!$ET$78)))))*AH$7))</f>
        <v>600000</v>
      </c>
      <c r="AI331" s="56">
        <f>(SUMPRODUCT(AI$8:AI$217,Nutrients!$ET$8:$ET$217)+(IF($A$6=Nutrients!$B$8,Nutrients!$ET$8,Nutrients!$ET$9)*AI$6)+(((IF($A$7=Nutrients!$B$79,Nutrients!$ET$79,(IF($A$7=Nutrients!$B$77,Nutrients!$ET$77,Nutrients!$ET$78)))))*AI$7))</f>
        <v>600000</v>
      </c>
      <c r="AJ331" s="56">
        <f>(SUMPRODUCT(AJ$8:AJ$217,Nutrients!$ET$8:$ET$217)+(IF($A$6=Nutrients!$B$8,Nutrients!$ET$8,Nutrients!$ET$9)*AJ$6)+(((IF($A$7=Nutrients!$B$79,Nutrients!$ET$79,(IF($A$7=Nutrients!$B$77,Nutrients!$ET$77,Nutrients!$ET$78)))))*AJ$7))</f>
        <v>600000</v>
      </c>
      <c r="AK331" s="56"/>
      <c r="AL331" s="56"/>
    </row>
    <row r="332" spans="1:38" x14ac:dyDescent="0.15">
      <c r="A332" s="261" t="s">
        <v>117</v>
      </c>
      <c r="B332" s="56">
        <f>(SUMPRODUCT(B$8:B$217,Nutrients!$EU$8:$EU$217)+(IF($A$6=Nutrients!$B$8,Nutrients!$EU$8,Nutrients!$EU$9)*B$6)+(((IF($A$7=Nutrients!$B$79,Nutrients!$EU$79,(IF($A$7=Nutrients!$B$77,Nutrients!$EU$77,Nutrients!$EU$78)))))*B$7))</f>
        <v>40000</v>
      </c>
      <c r="C332" s="56">
        <f>(SUMPRODUCT(C$8:C$217,Nutrients!$EU$8:$EU$217)+(IF($A$6=Nutrients!$B$8,Nutrients!$EU$8,Nutrients!$EU$9)*C$6)+(((IF($A$7=Nutrients!$B$79,Nutrients!$EU$79,(IF($A$7=Nutrients!$B$77,Nutrients!$EU$77,Nutrients!$EU$78)))))*C$7))</f>
        <v>40000</v>
      </c>
      <c r="D332" s="56">
        <f>(SUMPRODUCT(D$8:D$217,Nutrients!$EU$8:$EU$217)+(IF($A$6=Nutrients!$B$8,Nutrients!$EU$8,Nutrients!$EU$9)*D$6)+(((IF($A$7=Nutrients!$B$79,Nutrients!$EU$79,(IF($A$7=Nutrients!$B$77,Nutrients!$EU$77,Nutrients!$EU$78)))))*D$7))</f>
        <v>40000</v>
      </c>
      <c r="E332" s="56">
        <f>(SUMPRODUCT(E$8:E$217,Nutrients!$EU$8:$EU$217)+(IF($A$6=Nutrients!$B$8,Nutrients!$EU$8,Nutrients!$EU$9)*E$6)+(((IF($A$7=Nutrients!$B$79,Nutrients!$EU$79,(IF($A$7=Nutrients!$B$77,Nutrients!$EU$77,Nutrients!$EU$78)))))*E$7))</f>
        <v>40000</v>
      </c>
      <c r="F332" s="56">
        <f>(SUMPRODUCT(F$8:F$217,Nutrients!$EU$8:$EU$217)+(IF($A$6=Nutrients!$B$8,Nutrients!$EU$8,Nutrients!$EU$9)*F$6)+(((IF($A$7=Nutrients!$B$79,Nutrients!$EU$79,(IF($A$7=Nutrients!$B$77,Nutrients!$EU$77,Nutrients!$EU$78)))))*F$7))</f>
        <v>40000</v>
      </c>
      <c r="G332" s="56">
        <f>(SUMPRODUCT(G$8:G$217,Nutrients!$EU$8:$EU$217)+(IF($A$6=Nutrients!$B$8,Nutrients!$EU$8,Nutrients!$EU$9)*G$6)+(((IF($A$7=Nutrients!$B$79,Nutrients!$EU$79,(IF($A$7=Nutrients!$B$77,Nutrients!$EU$77,Nutrients!$EU$78)))))*G$7))</f>
        <v>40000</v>
      </c>
      <c r="H332" s="436"/>
      <c r="I332" s="56">
        <f>(SUMPRODUCT(I$8:I$217,Nutrients!$EU$8:$EU$217)+(IF($A$6=Nutrients!$B$8,Nutrients!$EU$8,Nutrients!$EU$9)*I$6)+(((IF($A$7=Nutrients!$B$79,Nutrients!$EU$79,(IF($A$7=Nutrients!$B$77,Nutrients!$EU$77,Nutrients!$EU$78)))))*I$7))</f>
        <v>24000</v>
      </c>
      <c r="J332" s="56">
        <f>(SUMPRODUCT(J$8:J$217,Nutrients!$EU$8:$EU$217)+(IF($A$6=Nutrients!$B$8,Nutrients!$EU$8,Nutrients!$EU$9)*J$6)+(((IF($A$7=Nutrients!$B$79,Nutrients!$EU$79,(IF($A$7=Nutrients!$B$77,Nutrients!$EU$77,Nutrients!$EU$78)))))*J$7))</f>
        <v>24000</v>
      </c>
      <c r="K332" s="56">
        <f>(SUMPRODUCT(K$8:K$217,Nutrients!$EU$8:$EU$217)+(IF($A$6=Nutrients!$B$8,Nutrients!$EU$8,Nutrients!$EU$9)*K$6)+(((IF($A$7=Nutrients!$B$79,Nutrients!$EU$79,(IF($A$7=Nutrients!$B$77,Nutrients!$EU$77,Nutrients!$EU$78)))))*K$7))</f>
        <v>24000</v>
      </c>
      <c r="L332" s="56">
        <f>(SUMPRODUCT(L$8:L$217,Nutrients!$EU$8:$EU$217)+(IF($A$6=Nutrients!$B$8,Nutrients!$EU$8,Nutrients!$EU$9)*L$6)+(((IF($A$7=Nutrients!$B$79,Nutrients!$EU$79,(IF($A$7=Nutrients!$B$77,Nutrients!$EU$77,Nutrients!$EU$78)))))*L$7))</f>
        <v>24000</v>
      </c>
      <c r="M332" s="56">
        <f>(SUMPRODUCT(M$8:M$217,Nutrients!$EU$8:$EU$217)+(IF($A$6=Nutrients!$B$8,Nutrients!$EU$8,Nutrients!$EU$9)*M$6)+(((IF($A$7=Nutrients!$B$79,Nutrients!$EU$79,(IF($A$7=Nutrients!$B$77,Nutrients!$EU$77,Nutrients!$EU$78)))))*M$7))</f>
        <v>24000</v>
      </c>
      <c r="N332" s="56">
        <f>(SUMPRODUCT(N$8:N$217,Nutrients!$EU$8:$EU$217)+(IF($A$6=Nutrients!$B$8,Nutrients!$EU$8,Nutrients!$EU$9)*N$6)+(((IF($A$7=Nutrients!$B$79,Nutrients!$EU$79,(IF($A$7=Nutrients!$B$77,Nutrients!$EU$77,Nutrients!$EU$78)))))*N$7))</f>
        <v>24000</v>
      </c>
      <c r="O332" s="436"/>
      <c r="P332" s="56">
        <f>(SUMPRODUCT(P$8:P$217,Nutrients!$EU$8:$EU$217)+(IF($A$6=Nutrients!$B$8,Nutrients!$EU$8,Nutrients!$EU$9)*P$6)+(((IF($A$7=Nutrients!$B$79,Nutrients!$EU$79,(IF($A$7=Nutrients!$B$77,Nutrients!$EU$77,Nutrients!$EU$78)))))*P$7))</f>
        <v>16000</v>
      </c>
      <c r="Q332" s="56">
        <f>(SUMPRODUCT(Q$8:Q$217,Nutrients!$EU$8:$EU$217)+(IF($A$6=Nutrients!$B$8,Nutrients!$EU$8,Nutrients!$EU$9)*Q$6)+(((IF($A$7=Nutrients!$B$79,Nutrients!$EU$79,(IF($A$7=Nutrients!$B$77,Nutrients!$EU$77,Nutrients!$EU$78)))))*Q$7))</f>
        <v>16000</v>
      </c>
      <c r="R332" s="56">
        <f>(SUMPRODUCT(R$8:R$217,Nutrients!$EU$8:$EU$217)+(IF($A$6=Nutrients!$B$8,Nutrients!$EU$8,Nutrients!$EU$9)*R$6)+(((IF($A$7=Nutrients!$B$79,Nutrients!$EU$79,(IF($A$7=Nutrients!$B$77,Nutrients!$EU$77,Nutrients!$EU$78)))))*R$7))</f>
        <v>16000</v>
      </c>
      <c r="S332" s="56">
        <f>(SUMPRODUCT(S$8:S$217,Nutrients!$EU$8:$EU$217)+(IF($A$6=Nutrients!$B$8,Nutrients!$EU$8,Nutrients!$EU$9)*S$6)+(((IF($A$7=Nutrients!$B$79,Nutrients!$EU$79,(IF($A$7=Nutrients!$B$77,Nutrients!$EU$77,Nutrients!$EU$78)))))*S$7))</f>
        <v>16000</v>
      </c>
      <c r="T332" s="56">
        <f>(SUMPRODUCT(T$8:T$217,Nutrients!$EU$8:$EU$217)+(IF($A$6=Nutrients!$B$8,Nutrients!$EU$8,Nutrients!$EU$9)*T$6)+(((IF($A$7=Nutrients!$B$79,Nutrients!$EU$79,(IF($A$7=Nutrients!$B$77,Nutrients!$EU$77,Nutrients!$EU$78)))))*T$7))</f>
        <v>16000</v>
      </c>
      <c r="U332" s="56">
        <f>(SUMPRODUCT(U$8:U$217,Nutrients!$EU$8:$EU$217)+(IF($A$6=Nutrients!$B$8,Nutrients!$EU$8,Nutrients!$EU$9)*U$6)+(((IF($A$7=Nutrients!$B$79,Nutrients!$EU$79,(IF($A$7=Nutrients!$B$77,Nutrients!$EU$77,Nutrients!$EU$78)))))*U$7))</f>
        <v>16000</v>
      </c>
      <c r="V332" s="436"/>
      <c r="W332" s="56">
        <f>(SUMPRODUCT(W$8:W$217,Nutrients!$EU$8:$EU$217)+(IF($A$6=Nutrients!$B$8,Nutrients!$EU$8,Nutrients!$EU$9)*W$6)+(((IF($A$7=Nutrients!$B$79,Nutrients!$EU$79,(IF($A$7=Nutrients!$B$77,Nutrients!$EU$77,Nutrients!$EU$78)))))*W$7))</f>
        <v>16000</v>
      </c>
      <c r="X332" s="56">
        <f>(SUMPRODUCT(X$8:X$217,Nutrients!$EU$8:$EU$217)+(IF($A$6=Nutrients!$B$8,Nutrients!$EU$8,Nutrients!$EU$9)*X$6)+(((IF($A$7=Nutrients!$B$79,Nutrients!$EU$79,(IF($A$7=Nutrients!$B$77,Nutrients!$EU$77,Nutrients!$EU$78)))))*X$7))</f>
        <v>16000</v>
      </c>
      <c r="Y332" s="56">
        <f>(SUMPRODUCT(Y$8:Y$217,Nutrients!$EU$8:$EU$217)+(IF($A$6=Nutrients!$B$8,Nutrients!$EU$8,Nutrients!$EU$9)*Y$6)+(((IF($A$7=Nutrients!$B$79,Nutrients!$EU$79,(IF($A$7=Nutrients!$B$77,Nutrients!$EU$77,Nutrients!$EU$78)))))*Y$7))</f>
        <v>16000</v>
      </c>
      <c r="Z332" s="56">
        <f>(SUMPRODUCT(Z$8:Z$217,Nutrients!$EU$8:$EU$217)+(IF($A$6=Nutrients!$B$8,Nutrients!$EU$8,Nutrients!$EU$9)*Z$6)+(((IF($A$7=Nutrients!$B$79,Nutrients!$EU$79,(IF($A$7=Nutrients!$B$77,Nutrients!$EU$77,Nutrients!$EU$78)))))*Z$7))</f>
        <v>16000</v>
      </c>
      <c r="AA332" s="56">
        <f>(SUMPRODUCT(AA$8:AA$217,Nutrients!$EU$8:$EU$217)+(IF($A$6=Nutrients!$B$8,Nutrients!$EU$8,Nutrients!$EU$9)*AA$6)+(((IF($A$7=Nutrients!$B$79,Nutrients!$EU$79,(IF($A$7=Nutrients!$B$77,Nutrients!$EU$77,Nutrients!$EU$78)))))*AA$7))</f>
        <v>16000</v>
      </c>
      <c r="AB332" s="56">
        <f>(SUMPRODUCT(AB$8:AB$217,Nutrients!$EU$8:$EU$217)+(IF($A$6=Nutrients!$B$8,Nutrients!$EU$8,Nutrients!$EU$9)*AB$6)+(((IF($A$7=Nutrients!$B$79,Nutrients!$EU$79,(IF($A$7=Nutrients!$B$77,Nutrients!$EU$77,Nutrients!$EU$78)))))*AB$7))</f>
        <v>16000</v>
      </c>
      <c r="AC332" s="56">
        <f>(SUMPRODUCT(AC$8:AC$217,Nutrients!$EU$8:$EU$217)+(IF($A$6=Nutrients!$B$8,Nutrients!$EU$8,Nutrients!$EU$9)*AC$6)+(((IF($A$7=Nutrients!$B$79,Nutrients!$EU$79,(IF($A$7=Nutrients!$B$77,Nutrients!$EU$77,Nutrients!$EU$78)))))*AC$7))</f>
        <v>16000</v>
      </c>
      <c r="AD332" s="436"/>
      <c r="AE332" s="56">
        <f>(SUMPRODUCT(AE$8:AE$217,Nutrients!$EU$8:$EU$217)+(IF($A$6=Nutrients!$B$8,Nutrients!$EU$8,Nutrients!$EU$9)*AE$6)+(((IF($A$7=Nutrients!$B$79,Nutrients!$EU$79,(IF($A$7=Nutrients!$B$77,Nutrients!$EU$77,Nutrients!$EU$78)))))*AE$7))</f>
        <v>16000</v>
      </c>
      <c r="AF332" s="56">
        <f>(SUMPRODUCT(AF$8:AF$217,Nutrients!$EU$8:$EU$217)+(IF($A$6=Nutrients!$B$8,Nutrients!$EU$8,Nutrients!$EU$9)*AF$6)+(((IF($A$7=Nutrients!$B$79,Nutrients!$EU$79,(IF($A$7=Nutrients!$B$77,Nutrients!$EU$77,Nutrients!$EU$78)))))*AF$7))</f>
        <v>16000</v>
      </c>
      <c r="AG332" s="56">
        <f>(SUMPRODUCT(AG$8:AG$217,Nutrients!$EU$8:$EU$217)+(IF($A$6=Nutrients!$B$8,Nutrients!$EU$8,Nutrients!$EU$9)*AG$6)+(((IF($A$7=Nutrients!$B$79,Nutrients!$EU$79,(IF($A$7=Nutrients!$B$77,Nutrients!$EU$77,Nutrients!$EU$78)))))*AG$7))</f>
        <v>16000</v>
      </c>
      <c r="AH332" s="56">
        <f>(SUMPRODUCT(AH$8:AH$217,Nutrients!$EU$8:$EU$217)+(IF($A$6=Nutrients!$B$8,Nutrients!$EU$8,Nutrients!$EU$9)*AH$6)+(((IF($A$7=Nutrients!$B$79,Nutrients!$EU$79,(IF($A$7=Nutrients!$B$77,Nutrients!$EU$77,Nutrients!$EU$78)))))*AH$7))</f>
        <v>16000</v>
      </c>
      <c r="AI332" s="56">
        <f>(SUMPRODUCT(AI$8:AI$217,Nutrients!$EU$8:$EU$217)+(IF($A$6=Nutrients!$B$8,Nutrients!$EU$8,Nutrients!$EU$9)*AI$6)+(((IF($A$7=Nutrients!$B$79,Nutrients!$EU$79,(IF($A$7=Nutrients!$B$77,Nutrients!$EU$77,Nutrients!$EU$78)))))*AI$7))</f>
        <v>16000</v>
      </c>
      <c r="AJ332" s="56">
        <f>(SUMPRODUCT(AJ$8:AJ$217,Nutrients!$EU$8:$EU$217)+(IF($A$6=Nutrients!$B$8,Nutrients!$EU$8,Nutrients!$EU$9)*AJ$6)+(((IF($A$7=Nutrients!$B$79,Nutrients!$EU$79,(IF($A$7=Nutrients!$B$77,Nutrients!$EU$77,Nutrients!$EU$78)))))*AJ$7))</f>
        <v>16000</v>
      </c>
      <c r="AK332" s="56"/>
      <c r="AL332" s="56"/>
    </row>
    <row r="333" spans="1:38" x14ac:dyDescent="0.15">
      <c r="A333" s="261" t="s">
        <v>118</v>
      </c>
      <c r="B333" s="56">
        <f>(SUMPRODUCT(B$8:B$217,Nutrients!$EV$8:$EV$217)+(IF($A$6=Nutrients!$B$8,Nutrients!$EV$8,Nutrients!$EV$9)*B$6)+(((IF($A$7=Nutrients!$B$79,Nutrients!$EV$79,(IF($A$7=Nutrients!$B$77,Nutrients!$EV$77,Nutrients!$EV$78)))))*B$7))</f>
        <v>3000</v>
      </c>
      <c r="C333" s="56">
        <f>(SUMPRODUCT(C$8:C$217,Nutrients!$EV$8:$EV$217)+(IF($A$6=Nutrients!$B$8,Nutrients!$EV$8,Nutrients!$EV$9)*C$6)+(((IF($A$7=Nutrients!$B$79,Nutrients!$EV$79,(IF($A$7=Nutrients!$B$77,Nutrients!$EV$77,Nutrients!$EV$78)))))*C$7))</f>
        <v>3000</v>
      </c>
      <c r="D333" s="56">
        <f>(SUMPRODUCT(D$8:D$217,Nutrients!$EV$8:$EV$217)+(IF($A$6=Nutrients!$B$8,Nutrients!$EV$8,Nutrients!$EV$9)*D$6)+(((IF($A$7=Nutrients!$B$79,Nutrients!$EV$79,(IF($A$7=Nutrients!$B$77,Nutrients!$EV$77,Nutrients!$EV$78)))))*D$7))</f>
        <v>3000</v>
      </c>
      <c r="E333" s="56">
        <f>(SUMPRODUCT(E$8:E$217,Nutrients!$EV$8:$EV$217)+(IF($A$6=Nutrients!$B$8,Nutrients!$EV$8,Nutrients!$EV$9)*E$6)+(((IF($A$7=Nutrients!$B$79,Nutrients!$EV$79,(IF($A$7=Nutrients!$B$77,Nutrients!$EV$77,Nutrients!$EV$78)))))*E$7))</f>
        <v>3000</v>
      </c>
      <c r="F333" s="56">
        <f>(SUMPRODUCT(F$8:F$217,Nutrients!$EV$8:$EV$217)+(IF($A$6=Nutrients!$B$8,Nutrients!$EV$8,Nutrients!$EV$9)*F$6)+(((IF($A$7=Nutrients!$B$79,Nutrients!$EV$79,(IF($A$7=Nutrients!$B$77,Nutrients!$EV$77,Nutrients!$EV$78)))))*F$7))</f>
        <v>3000</v>
      </c>
      <c r="G333" s="56">
        <f>(SUMPRODUCT(G$8:G$217,Nutrients!$EV$8:$EV$217)+(IF($A$6=Nutrients!$B$8,Nutrients!$EV$8,Nutrients!$EV$9)*G$6)+(((IF($A$7=Nutrients!$B$79,Nutrients!$EV$79,(IF($A$7=Nutrients!$B$77,Nutrients!$EV$77,Nutrients!$EV$78)))))*G$7))</f>
        <v>3000</v>
      </c>
      <c r="H333" s="436"/>
      <c r="I333" s="56">
        <f>(SUMPRODUCT(I$8:I$217,Nutrients!$EV$8:$EV$217)+(IF($A$6=Nutrients!$B$8,Nutrients!$EV$8,Nutrients!$EV$9)*I$6)+(((IF($A$7=Nutrients!$B$79,Nutrients!$EV$79,(IF($A$7=Nutrients!$B$77,Nutrients!$EV$77,Nutrients!$EV$78)))))*I$7))</f>
        <v>1800</v>
      </c>
      <c r="J333" s="56">
        <f>(SUMPRODUCT(J$8:J$217,Nutrients!$EV$8:$EV$217)+(IF($A$6=Nutrients!$B$8,Nutrients!$EV$8,Nutrients!$EV$9)*J$6)+(((IF($A$7=Nutrients!$B$79,Nutrients!$EV$79,(IF($A$7=Nutrients!$B$77,Nutrients!$EV$77,Nutrients!$EV$78)))))*J$7))</f>
        <v>1800</v>
      </c>
      <c r="K333" s="56">
        <f>(SUMPRODUCT(K$8:K$217,Nutrients!$EV$8:$EV$217)+(IF($A$6=Nutrients!$B$8,Nutrients!$EV$8,Nutrients!$EV$9)*K$6)+(((IF($A$7=Nutrients!$B$79,Nutrients!$EV$79,(IF($A$7=Nutrients!$B$77,Nutrients!$EV$77,Nutrients!$EV$78)))))*K$7))</f>
        <v>1800</v>
      </c>
      <c r="L333" s="56">
        <f>(SUMPRODUCT(L$8:L$217,Nutrients!$EV$8:$EV$217)+(IF($A$6=Nutrients!$B$8,Nutrients!$EV$8,Nutrients!$EV$9)*L$6)+(((IF($A$7=Nutrients!$B$79,Nutrients!$EV$79,(IF($A$7=Nutrients!$B$77,Nutrients!$EV$77,Nutrients!$EV$78)))))*L$7))</f>
        <v>1800</v>
      </c>
      <c r="M333" s="56">
        <f>(SUMPRODUCT(M$8:M$217,Nutrients!$EV$8:$EV$217)+(IF($A$6=Nutrients!$B$8,Nutrients!$EV$8,Nutrients!$EV$9)*M$6)+(((IF($A$7=Nutrients!$B$79,Nutrients!$EV$79,(IF($A$7=Nutrients!$B$77,Nutrients!$EV$77,Nutrients!$EV$78)))))*M$7))</f>
        <v>1800</v>
      </c>
      <c r="N333" s="56">
        <f>(SUMPRODUCT(N$8:N$217,Nutrients!$EV$8:$EV$217)+(IF($A$6=Nutrients!$B$8,Nutrients!$EV$8,Nutrients!$EV$9)*N$6)+(((IF($A$7=Nutrients!$B$79,Nutrients!$EV$79,(IF($A$7=Nutrients!$B$77,Nutrients!$EV$77,Nutrients!$EV$78)))))*N$7))</f>
        <v>1800</v>
      </c>
      <c r="O333" s="436"/>
      <c r="P333" s="56">
        <f>(SUMPRODUCT(P$8:P$217,Nutrients!$EV$8:$EV$217)+(IF($A$6=Nutrients!$B$8,Nutrients!$EV$8,Nutrients!$EV$9)*P$6)+(((IF($A$7=Nutrients!$B$79,Nutrients!$EV$79,(IF($A$7=Nutrients!$B$77,Nutrients!$EV$77,Nutrients!$EV$78)))))*P$7))</f>
        <v>1200</v>
      </c>
      <c r="Q333" s="56">
        <f>(SUMPRODUCT(Q$8:Q$217,Nutrients!$EV$8:$EV$217)+(IF($A$6=Nutrients!$B$8,Nutrients!$EV$8,Nutrients!$EV$9)*Q$6)+(((IF($A$7=Nutrients!$B$79,Nutrients!$EV$79,(IF($A$7=Nutrients!$B$77,Nutrients!$EV$77,Nutrients!$EV$78)))))*Q$7))</f>
        <v>1200</v>
      </c>
      <c r="R333" s="56">
        <f>(SUMPRODUCT(R$8:R$217,Nutrients!$EV$8:$EV$217)+(IF($A$6=Nutrients!$B$8,Nutrients!$EV$8,Nutrients!$EV$9)*R$6)+(((IF($A$7=Nutrients!$B$79,Nutrients!$EV$79,(IF($A$7=Nutrients!$B$77,Nutrients!$EV$77,Nutrients!$EV$78)))))*R$7))</f>
        <v>1200</v>
      </c>
      <c r="S333" s="56">
        <f>(SUMPRODUCT(S$8:S$217,Nutrients!$EV$8:$EV$217)+(IF($A$6=Nutrients!$B$8,Nutrients!$EV$8,Nutrients!$EV$9)*S$6)+(((IF($A$7=Nutrients!$B$79,Nutrients!$EV$79,(IF($A$7=Nutrients!$B$77,Nutrients!$EV$77,Nutrients!$EV$78)))))*S$7))</f>
        <v>1200</v>
      </c>
      <c r="T333" s="56">
        <f>(SUMPRODUCT(T$8:T$217,Nutrients!$EV$8:$EV$217)+(IF($A$6=Nutrients!$B$8,Nutrients!$EV$8,Nutrients!$EV$9)*T$6)+(((IF($A$7=Nutrients!$B$79,Nutrients!$EV$79,(IF($A$7=Nutrients!$B$77,Nutrients!$EV$77,Nutrients!$EV$78)))))*T$7))</f>
        <v>1200</v>
      </c>
      <c r="U333" s="56">
        <f>(SUMPRODUCT(U$8:U$217,Nutrients!$EV$8:$EV$217)+(IF($A$6=Nutrients!$B$8,Nutrients!$EV$8,Nutrients!$EV$9)*U$6)+(((IF($A$7=Nutrients!$B$79,Nutrients!$EV$79,(IF($A$7=Nutrients!$B$77,Nutrients!$EV$77,Nutrients!$EV$78)))))*U$7))</f>
        <v>1200</v>
      </c>
      <c r="V333" s="436"/>
      <c r="W333" s="56">
        <f>(SUMPRODUCT(W$8:W$217,Nutrients!$EV$8:$EV$217)+(IF($A$6=Nutrients!$B$8,Nutrients!$EV$8,Nutrients!$EV$9)*W$6)+(((IF($A$7=Nutrients!$B$79,Nutrients!$EV$79,(IF($A$7=Nutrients!$B$77,Nutrients!$EV$77,Nutrients!$EV$78)))))*W$7))</f>
        <v>1200</v>
      </c>
      <c r="X333" s="56">
        <f>(SUMPRODUCT(X$8:X$217,Nutrients!$EV$8:$EV$217)+(IF($A$6=Nutrients!$B$8,Nutrients!$EV$8,Nutrients!$EV$9)*X$6)+(((IF($A$7=Nutrients!$B$79,Nutrients!$EV$79,(IF($A$7=Nutrients!$B$77,Nutrients!$EV$77,Nutrients!$EV$78)))))*X$7))</f>
        <v>1200</v>
      </c>
      <c r="Y333" s="56">
        <f>(SUMPRODUCT(Y$8:Y$217,Nutrients!$EV$8:$EV$217)+(IF($A$6=Nutrients!$B$8,Nutrients!$EV$8,Nutrients!$EV$9)*Y$6)+(((IF($A$7=Nutrients!$B$79,Nutrients!$EV$79,(IF($A$7=Nutrients!$B$77,Nutrients!$EV$77,Nutrients!$EV$78)))))*Y$7))</f>
        <v>1200</v>
      </c>
      <c r="Z333" s="56">
        <f>(SUMPRODUCT(Z$8:Z$217,Nutrients!$EV$8:$EV$217)+(IF($A$6=Nutrients!$B$8,Nutrients!$EV$8,Nutrients!$EV$9)*Z$6)+(((IF($A$7=Nutrients!$B$79,Nutrients!$EV$79,(IF($A$7=Nutrients!$B$77,Nutrients!$EV$77,Nutrients!$EV$78)))))*Z$7))</f>
        <v>1200</v>
      </c>
      <c r="AA333" s="56">
        <f>(SUMPRODUCT(AA$8:AA$217,Nutrients!$EV$8:$EV$217)+(IF($A$6=Nutrients!$B$8,Nutrients!$EV$8,Nutrients!$EV$9)*AA$6)+(((IF($A$7=Nutrients!$B$79,Nutrients!$EV$79,(IF($A$7=Nutrients!$B$77,Nutrients!$EV$77,Nutrients!$EV$78)))))*AA$7))</f>
        <v>1200</v>
      </c>
      <c r="AB333" s="56">
        <f>(SUMPRODUCT(AB$8:AB$217,Nutrients!$EV$8:$EV$217)+(IF($A$6=Nutrients!$B$8,Nutrients!$EV$8,Nutrients!$EV$9)*AB$6)+(((IF($A$7=Nutrients!$B$79,Nutrients!$EV$79,(IF($A$7=Nutrients!$B$77,Nutrients!$EV$77,Nutrients!$EV$78)))))*AB$7))</f>
        <v>1200</v>
      </c>
      <c r="AC333" s="56">
        <f>(SUMPRODUCT(AC$8:AC$217,Nutrients!$EV$8:$EV$217)+(IF($A$6=Nutrients!$B$8,Nutrients!$EV$8,Nutrients!$EV$9)*AC$6)+(((IF($A$7=Nutrients!$B$79,Nutrients!$EV$79,(IF($A$7=Nutrients!$B$77,Nutrients!$EV$77,Nutrients!$EV$78)))))*AC$7))</f>
        <v>1200</v>
      </c>
      <c r="AD333" s="436"/>
      <c r="AE333" s="56">
        <f>(SUMPRODUCT(AE$8:AE$217,Nutrients!$EV$8:$EV$217)+(IF($A$6=Nutrients!$B$8,Nutrients!$EV$8,Nutrients!$EV$9)*AE$6)+(((IF($A$7=Nutrients!$B$79,Nutrients!$EV$79,(IF($A$7=Nutrients!$B$77,Nutrients!$EV$77,Nutrients!$EV$78)))))*AE$7))</f>
        <v>1200</v>
      </c>
      <c r="AF333" s="56">
        <f>(SUMPRODUCT(AF$8:AF$217,Nutrients!$EV$8:$EV$217)+(IF($A$6=Nutrients!$B$8,Nutrients!$EV$8,Nutrients!$EV$9)*AF$6)+(((IF($A$7=Nutrients!$B$79,Nutrients!$EV$79,(IF($A$7=Nutrients!$B$77,Nutrients!$EV$77,Nutrients!$EV$78)))))*AF$7))</f>
        <v>1200</v>
      </c>
      <c r="AG333" s="56">
        <f>(SUMPRODUCT(AG$8:AG$217,Nutrients!$EV$8:$EV$217)+(IF($A$6=Nutrients!$B$8,Nutrients!$EV$8,Nutrients!$EV$9)*AG$6)+(((IF($A$7=Nutrients!$B$79,Nutrients!$EV$79,(IF($A$7=Nutrients!$B$77,Nutrients!$EV$77,Nutrients!$EV$78)))))*AG$7))</f>
        <v>1200</v>
      </c>
      <c r="AH333" s="56">
        <f>(SUMPRODUCT(AH$8:AH$217,Nutrients!$EV$8:$EV$217)+(IF($A$6=Nutrients!$B$8,Nutrients!$EV$8,Nutrients!$EV$9)*AH$6)+(((IF($A$7=Nutrients!$B$79,Nutrients!$EV$79,(IF($A$7=Nutrients!$B$77,Nutrients!$EV$77,Nutrients!$EV$78)))))*AH$7))</f>
        <v>1200</v>
      </c>
      <c r="AI333" s="56">
        <f>(SUMPRODUCT(AI$8:AI$217,Nutrients!$EV$8:$EV$217)+(IF($A$6=Nutrients!$B$8,Nutrients!$EV$8,Nutrients!$EV$9)*AI$6)+(((IF($A$7=Nutrients!$B$79,Nutrients!$EV$79,(IF($A$7=Nutrients!$B$77,Nutrients!$EV$77,Nutrients!$EV$78)))))*AI$7))</f>
        <v>1200</v>
      </c>
      <c r="AJ333" s="56">
        <f>(SUMPRODUCT(AJ$8:AJ$217,Nutrients!$EV$8:$EV$217)+(IF($A$6=Nutrients!$B$8,Nutrients!$EV$8,Nutrients!$EV$9)*AJ$6)+(((IF($A$7=Nutrients!$B$79,Nutrients!$EV$79,(IF($A$7=Nutrients!$B$77,Nutrients!$EV$77,Nutrients!$EV$78)))))*AJ$7))</f>
        <v>1200</v>
      </c>
      <c r="AK333" s="56"/>
      <c r="AL333" s="56"/>
    </row>
    <row r="334" spans="1:38" x14ac:dyDescent="0.15">
      <c r="A334" s="261" t="s">
        <v>119</v>
      </c>
      <c r="B334" s="56">
        <f>(SUMPRODUCT(B$8:B$217,Nutrients!$EW$8:$EW$217)+(IF($A$6=Nutrients!$B$8,Nutrients!$EW$8,Nutrients!$EW$9)*B$6)+(((IF($A$7=Nutrients!$B$79,Nutrients!$EW$79,(IF($A$7=Nutrients!$B$77,Nutrients!$EW$77,Nutrients!$EW$78)))))*B$7))</f>
        <v>30</v>
      </c>
      <c r="C334" s="56">
        <f>(SUMPRODUCT(C$8:C$217,Nutrients!$EW$8:$EW$217)+(IF($A$6=Nutrients!$B$8,Nutrients!$EW$8,Nutrients!$EW$9)*C$6)+(((IF($A$7=Nutrients!$B$79,Nutrients!$EW$79,(IF($A$7=Nutrients!$B$77,Nutrients!$EW$77,Nutrients!$EW$78)))))*C$7))</f>
        <v>30</v>
      </c>
      <c r="D334" s="56">
        <f>(SUMPRODUCT(D$8:D$217,Nutrients!$EW$8:$EW$217)+(IF($A$6=Nutrients!$B$8,Nutrients!$EW$8,Nutrients!$EW$9)*D$6)+(((IF($A$7=Nutrients!$B$79,Nutrients!$EW$79,(IF($A$7=Nutrients!$B$77,Nutrients!$EW$77,Nutrients!$EW$78)))))*D$7))</f>
        <v>30</v>
      </c>
      <c r="E334" s="56">
        <f>(SUMPRODUCT(E$8:E$217,Nutrients!$EW$8:$EW$217)+(IF($A$6=Nutrients!$B$8,Nutrients!$EW$8,Nutrients!$EW$9)*E$6)+(((IF($A$7=Nutrients!$B$79,Nutrients!$EW$79,(IF($A$7=Nutrients!$B$77,Nutrients!$EW$77,Nutrients!$EW$78)))))*E$7))</f>
        <v>30</v>
      </c>
      <c r="F334" s="56">
        <f>(SUMPRODUCT(F$8:F$217,Nutrients!$EW$8:$EW$217)+(IF($A$6=Nutrients!$B$8,Nutrients!$EW$8,Nutrients!$EW$9)*F$6)+(((IF($A$7=Nutrients!$B$79,Nutrients!$EW$79,(IF($A$7=Nutrients!$B$77,Nutrients!$EW$77,Nutrients!$EW$78)))))*F$7))</f>
        <v>30</v>
      </c>
      <c r="G334" s="56">
        <f>(SUMPRODUCT(G$8:G$217,Nutrients!$EW$8:$EW$217)+(IF($A$6=Nutrients!$B$8,Nutrients!$EW$8,Nutrients!$EW$9)*G$6)+(((IF($A$7=Nutrients!$B$79,Nutrients!$EW$79,(IF($A$7=Nutrients!$B$77,Nutrients!$EW$77,Nutrients!$EW$78)))))*G$7))</f>
        <v>30</v>
      </c>
      <c r="H334" s="436"/>
      <c r="I334" s="56">
        <f>(SUMPRODUCT(I$8:I$217,Nutrients!$EW$8:$EW$217)+(IF($A$6=Nutrients!$B$8,Nutrients!$EW$8,Nutrients!$EW$9)*I$6)+(((IF($A$7=Nutrients!$B$79,Nutrients!$EW$79,(IF($A$7=Nutrients!$B$77,Nutrients!$EW$77,Nutrients!$EW$78)))))*I$7))</f>
        <v>18</v>
      </c>
      <c r="J334" s="56">
        <f>(SUMPRODUCT(J$8:J$217,Nutrients!$EW$8:$EW$217)+(IF($A$6=Nutrients!$B$8,Nutrients!$EW$8,Nutrients!$EW$9)*J$6)+(((IF($A$7=Nutrients!$B$79,Nutrients!$EW$79,(IF($A$7=Nutrients!$B$77,Nutrients!$EW$77,Nutrients!$EW$78)))))*J$7))</f>
        <v>18</v>
      </c>
      <c r="K334" s="56">
        <f>(SUMPRODUCT(K$8:K$217,Nutrients!$EW$8:$EW$217)+(IF($A$6=Nutrients!$B$8,Nutrients!$EW$8,Nutrients!$EW$9)*K$6)+(((IF($A$7=Nutrients!$B$79,Nutrients!$EW$79,(IF($A$7=Nutrients!$B$77,Nutrients!$EW$77,Nutrients!$EW$78)))))*K$7))</f>
        <v>18</v>
      </c>
      <c r="L334" s="56">
        <f>(SUMPRODUCT(L$8:L$217,Nutrients!$EW$8:$EW$217)+(IF($A$6=Nutrients!$B$8,Nutrients!$EW$8,Nutrients!$EW$9)*L$6)+(((IF($A$7=Nutrients!$B$79,Nutrients!$EW$79,(IF($A$7=Nutrients!$B$77,Nutrients!$EW$77,Nutrients!$EW$78)))))*L$7))</f>
        <v>18</v>
      </c>
      <c r="M334" s="56">
        <f>(SUMPRODUCT(M$8:M$217,Nutrients!$EW$8:$EW$217)+(IF($A$6=Nutrients!$B$8,Nutrients!$EW$8,Nutrients!$EW$9)*M$6)+(((IF($A$7=Nutrients!$B$79,Nutrients!$EW$79,(IF($A$7=Nutrients!$B$77,Nutrients!$EW$77,Nutrients!$EW$78)))))*M$7))</f>
        <v>18</v>
      </c>
      <c r="N334" s="56">
        <f>(SUMPRODUCT(N$8:N$217,Nutrients!$EW$8:$EW$217)+(IF($A$6=Nutrients!$B$8,Nutrients!$EW$8,Nutrients!$EW$9)*N$6)+(((IF($A$7=Nutrients!$B$79,Nutrients!$EW$79,(IF($A$7=Nutrients!$B$77,Nutrients!$EW$77,Nutrients!$EW$78)))))*N$7))</f>
        <v>18</v>
      </c>
      <c r="O334" s="436"/>
      <c r="P334" s="56">
        <f>(SUMPRODUCT(P$8:P$217,Nutrients!$EW$8:$EW$217)+(IF($A$6=Nutrients!$B$8,Nutrients!$EW$8,Nutrients!$EW$9)*P$6)+(((IF($A$7=Nutrients!$B$79,Nutrients!$EW$79,(IF($A$7=Nutrients!$B$77,Nutrients!$EW$77,Nutrients!$EW$78)))))*P$7))</f>
        <v>12</v>
      </c>
      <c r="Q334" s="56">
        <f>(SUMPRODUCT(Q$8:Q$217,Nutrients!$EW$8:$EW$217)+(IF($A$6=Nutrients!$B$8,Nutrients!$EW$8,Nutrients!$EW$9)*Q$6)+(((IF($A$7=Nutrients!$B$79,Nutrients!$EW$79,(IF($A$7=Nutrients!$B$77,Nutrients!$EW$77,Nutrients!$EW$78)))))*Q$7))</f>
        <v>12</v>
      </c>
      <c r="R334" s="56">
        <f>(SUMPRODUCT(R$8:R$217,Nutrients!$EW$8:$EW$217)+(IF($A$6=Nutrients!$B$8,Nutrients!$EW$8,Nutrients!$EW$9)*R$6)+(((IF($A$7=Nutrients!$B$79,Nutrients!$EW$79,(IF($A$7=Nutrients!$B$77,Nutrients!$EW$77,Nutrients!$EW$78)))))*R$7))</f>
        <v>12</v>
      </c>
      <c r="S334" s="56">
        <f>(SUMPRODUCT(S$8:S$217,Nutrients!$EW$8:$EW$217)+(IF($A$6=Nutrients!$B$8,Nutrients!$EW$8,Nutrients!$EW$9)*S$6)+(((IF($A$7=Nutrients!$B$79,Nutrients!$EW$79,(IF($A$7=Nutrients!$B$77,Nutrients!$EW$77,Nutrients!$EW$78)))))*S$7))</f>
        <v>12</v>
      </c>
      <c r="T334" s="56">
        <f>(SUMPRODUCT(T$8:T$217,Nutrients!$EW$8:$EW$217)+(IF($A$6=Nutrients!$B$8,Nutrients!$EW$8,Nutrients!$EW$9)*T$6)+(((IF($A$7=Nutrients!$B$79,Nutrients!$EW$79,(IF($A$7=Nutrients!$B$77,Nutrients!$EW$77,Nutrients!$EW$78)))))*T$7))</f>
        <v>12</v>
      </c>
      <c r="U334" s="56">
        <f>(SUMPRODUCT(U$8:U$217,Nutrients!$EW$8:$EW$217)+(IF($A$6=Nutrients!$B$8,Nutrients!$EW$8,Nutrients!$EW$9)*U$6)+(((IF($A$7=Nutrients!$B$79,Nutrients!$EW$79,(IF($A$7=Nutrients!$B$77,Nutrients!$EW$77,Nutrients!$EW$78)))))*U$7))</f>
        <v>12</v>
      </c>
      <c r="V334" s="436"/>
      <c r="W334" s="56">
        <f>(SUMPRODUCT(W$8:W$217,Nutrients!$EW$8:$EW$217)+(IF($A$6=Nutrients!$B$8,Nutrients!$EW$8,Nutrients!$EW$9)*W$6)+(((IF($A$7=Nutrients!$B$79,Nutrients!$EW$79,(IF($A$7=Nutrients!$B$77,Nutrients!$EW$77,Nutrients!$EW$78)))))*W$7))</f>
        <v>12</v>
      </c>
      <c r="X334" s="56">
        <f>(SUMPRODUCT(X$8:X$217,Nutrients!$EW$8:$EW$217)+(IF($A$6=Nutrients!$B$8,Nutrients!$EW$8,Nutrients!$EW$9)*X$6)+(((IF($A$7=Nutrients!$B$79,Nutrients!$EW$79,(IF($A$7=Nutrients!$B$77,Nutrients!$EW$77,Nutrients!$EW$78)))))*X$7))</f>
        <v>12</v>
      </c>
      <c r="Y334" s="56">
        <f>(SUMPRODUCT(Y$8:Y$217,Nutrients!$EW$8:$EW$217)+(IF($A$6=Nutrients!$B$8,Nutrients!$EW$8,Nutrients!$EW$9)*Y$6)+(((IF($A$7=Nutrients!$B$79,Nutrients!$EW$79,(IF($A$7=Nutrients!$B$77,Nutrients!$EW$77,Nutrients!$EW$78)))))*Y$7))</f>
        <v>12</v>
      </c>
      <c r="Z334" s="56">
        <f>(SUMPRODUCT(Z$8:Z$217,Nutrients!$EW$8:$EW$217)+(IF($A$6=Nutrients!$B$8,Nutrients!$EW$8,Nutrients!$EW$9)*Z$6)+(((IF($A$7=Nutrients!$B$79,Nutrients!$EW$79,(IF($A$7=Nutrients!$B$77,Nutrients!$EW$77,Nutrients!$EW$78)))))*Z$7))</f>
        <v>12</v>
      </c>
      <c r="AA334" s="56">
        <f>(SUMPRODUCT(AA$8:AA$217,Nutrients!$EW$8:$EW$217)+(IF($A$6=Nutrients!$B$8,Nutrients!$EW$8,Nutrients!$EW$9)*AA$6)+(((IF($A$7=Nutrients!$B$79,Nutrients!$EW$79,(IF($A$7=Nutrients!$B$77,Nutrients!$EW$77,Nutrients!$EW$78)))))*AA$7))</f>
        <v>12</v>
      </c>
      <c r="AB334" s="56">
        <f>(SUMPRODUCT(AB$8:AB$217,Nutrients!$EW$8:$EW$217)+(IF($A$6=Nutrients!$B$8,Nutrients!$EW$8,Nutrients!$EW$9)*AB$6)+(((IF($A$7=Nutrients!$B$79,Nutrients!$EW$79,(IF($A$7=Nutrients!$B$77,Nutrients!$EW$77,Nutrients!$EW$78)))))*AB$7))</f>
        <v>12</v>
      </c>
      <c r="AC334" s="56">
        <f>(SUMPRODUCT(AC$8:AC$217,Nutrients!$EW$8:$EW$217)+(IF($A$6=Nutrients!$B$8,Nutrients!$EW$8,Nutrients!$EW$9)*AC$6)+(((IF($A$7=Nutrients!$B$79,Nutrients!$EW$79,(IF($A$7=Nutrients!$B$77,Nutrients!$EW$77,Nutrients!$EW$78)))))*AC$7))</f>
        <v>12</v>
      </c>
      <c r="AD334" s="436"/>
      <c r="AE334" s="56">
        <f>(SUMPRODUCT(AE$8:AE$217,Nutrients!$EW$8:$EW$217)+(IF($A$6=Nutrients!$B$8,Nutrients!$EW$8,Nutrients!$EW$9)*AE$6)+(((IF($A$7=Nutrients!$B$79,Nutrients!$EW$79,(IF($A$7=Nutrients!$B$77,Nutrients!$EW$77,Nutrients!$EW$78)))))*AE$7))</f>
        <v>12</v>
      </c>
      <c r="AF334" s="56">
        <f>(SUMPRODUCT(AF$8:AF$217,Nutrients!$EW$8:$EW$217)+(IF($A$6=Nutrients!$B$8,Nutrients!$EW$8,Nutrients!$EW$9)*AF$6)+(((IF($A$7=Nutrients!$B$79,Nutrients!$EW$79,(IF($A$7=Nutrients!$B$77,Nutrients!$EW$77,Nutrients!$EW$78)))))*AF$7))</f>
        <v>12</v>
      </c>
      <c r="AG334" s="56">
        <f>(SUMPRODUCT(AG$8:AG$217,Nutrients!$EW$8:$EW$217)+(IF($A$6=Nutrients!$B$8,Nutrients!$EW$8,Nutrients!$EW$9)*AG$6)+(((IF($A$7=Nutrients!$B$79,Nutrients!$EW$79,(IF($A$7=Nutrients!$B$77,Nutrients!$EW$77,Nutrients!$EW$78)))))*AG$7))</f>
        <v>12</v>
      </c>
      <c r="AH334" s="56">
        <f>(SUMPRODUCT(AH$8:AH$217,Nutrients!$EW$8:$EW$217)+(IF($A$6=Nutrients!$B$8,Nutrients!$EW$8,Nutrients!$EW$9)*AH$6)+(((IF($A$7=Nutrients!$B$79,Nutrients!$EW$79,(IF($A$7=Nutrients!$B$77,Nutrients!$EW$77,Nutrients!$EW$78)))))*AH$7))</f>
        <v>12</v>
      </c>
      <c r="AI334" s="56">
        <f>(SUMPRODUCT(AI$8:AI$217,Nutrients!$EW$8:$EW$217)+(IF($A$6=Nutrients!$B$8,Nutrients!$EW$8,Nutrients!$EW$9)*AI$6)+(((IF($A$7=Nutrients!$B$79,Nutrients!$EW$79,(IF($A$7=Nutrients!$B$77,Nutrients!$EW$77,Nutrients!$EW$78)))))*AI$7))</f>
        <v>12</v>
      </c>
      <c r="AJ334" s="56">
        <f>(SUMPRODUCT(AJ$8:AJ$217,Nutrients!$EW$8:$EW$217)+(IF($A$6=Nutrients!$B$8,Nutrients!$EW$8,Nutrients!$EW$9)*AJ$6)+(((IF($A$7=Nutrients!$B$79,Nutrients!$EW$79,(IF($A$7=Nutrients!$B$77,Nutrients!$EW$77,Nutrients!$EW$78)))))*AJ$7))</f>
        <v>12</v>
      </c>
      <c r="AK334" s="56"/>
      <c r="AL334" s="56"/>
    </row>
    <row r="335" spans="1:38" x14ac:dyDescent="0.15">
      <c r="A335" s="261" t="s">
        <v>120</v>
      </c>
      <c r="B335" s="56">
        <f>(SUMPRODUCT(B$8:B$217,Nutrients!$EX$8:$EX$217)+(IF($A$6=Nutrients!$B$8,Nutrients!$EX$8,Nutrients!$EX$9)*B$6)+(((IF($A$7=Nutrients!$B$79,Nutrients!$EX$79,(IF($A$7=Nutrients!$B$77,Nutrients!$EX$77,Nutrients!$EX$78)))))*B$7))</f>
        <v>45000</v>
      </c>
      <c r="C335" s="56">
        <f>(SUMPRODUCT(C$8:C$217,Nutrients!$EX$8:$EX$217)+(IF($A$6=Nutrients!$B$8,Nutrients!$EX$8,Nutrients!$EX$9)*C$6)+(((IF($A$7=Nutrients!$B$79,Nutrients!$EX$79,(IF($A$7=Nutrients!$B$77,Nutrients!$EX$77,Nutrients!$EX$78)))))*C$7))</f>
        <v>45000</v>
      </c>
      <c r="D335" s="56">
        <f>(SUMPRODUCT(D$8:D$217,Nutrients!$EX$8:$EX$217)+(IF($A$6=Nutrients!$B$8,Nutrients!$EX$8,Nutrients!$EX$9)*D$6)+(((IF($A$7=Nutrients!$B$79,Nutrients!$EX$79,(IF($A$7=Nutrients!$B$77,Nutrients!$EX$77,Nutrients!$EX$78)))))*D$7))</f>
        <v>45000</v>
      </c>
      <c r="E335" s="56">
        <f>(SUMPRODUCT(E$8:E$217,Nutrients!$EX$8:$EX$217)+(IF($A$6=Nutrients!$B$8,Nutrients!$EX$8,Nutrients!$EX$9)*E$6)+(((IF($A$7=Nutrients!$B$79,Nutrients!$EX$79,(IF($A$7=Nutrients!$B$77,Nutrients!$EX$77,Nutrients!$EX$78)))))*E$7))</f>
        <v>45000</v>
      </c>
      <c r="F335" s="56">
        <f>(SUMPRODUCT(F$8:F$217,Nutrients!$EX$8:$EX$217)+(IF($A$6=Nutrients!$B$8,Nutrients!$EX$8,Nutrients!$EX$9)*F$6)+(((IF($A$7=Nutrients!$B$79,Nutrients!$EX$79,(IF($A$7=Nutrients!$B$77,Nutrients!$EX$77,Nutrients!$EX$78)))))*F$7))</f>
        <v>45000</v>
      </c>
      <c r="G335" s="56">
        <f>(SUMPRODUCT(G$8:G$217,Nutrients!$EX$8:$EX$217)+(IF($A$6=Nutrients!$B$8,Nutrients!$EX$8,Nutrients!$EX$9)*G$6)+(((IF($A$7=Nutrients!$B$79,Nutrients!$EX$79,(IF($A$7=Nutrients!$B$77,Nutrients!$EX$77,Nutrients!$EX$78)))))*G$7))</f>
        <v>45000</v>
      </c>
      <c r="H335" s="436"/>
      <c r="I335" s="56">
        <f>(SUMPRODUCT(I$8:I$217,Nutrients!$EX$8:$EX$217)+(IF($A$6=Nutrients!$B$8,Nutrients!$EX$8,Nutrients!$EX$9)*I$6)+(((IF($A$7=Nutrients!$B$79,Nutrients!$EX$79,(IF($A$7=Nutrients!$B$77,Nutrients!$EX$77,Nutrients!$EX$78)))))*I$7))</f>
        <v>27000</v>
      </c>
      <c r="J335" s="56">
        <f>(SUMPRODUCT(J$8:J$217,Nutrients!$EX$8:$EX$217)+(IF($A$6=Nutrients!$B$8,Nutrients!$EX$8,Nutrients!$EX$9)*J$6)+(((IF($A$7=Nutrients!$B$79,Nutrients!$EX$79,(IF($A$7=Nutrients!$B$77,Nutrients!$EX$77,Nutrients!$EX$78)))))*J$7))</f>
        <v>27000</v>
      </c>
      <c r="K335" s="56">
        <f>(SUMPRODUCT(K$8:K$217,Nutrients!$EX$8:$EX$217)+(IF($A$6=Nutrients!$B$8,Nutrients!$EX$8,Nutrients!$EX$9)*K$6)+(((IF($A$7=Nutrients!$B$79,Nutrients!$EX$79,(IF($A$7=Nutrients!$B$77,Nutrients!$EX$77,Nutrients!$EX$78)))))*K$7))</f>
        <v>27000</v>
      </c>
      <c r="L335" s="56">
        <f>(SUMPRODUCT(L$8:L$217,Nutrients!$EX$8:$EX$217)+(IF($A$6=Nutrients!$B$8,Nutrients!$EX$8,Nutrients!$EX$9)*L$6)+(((IF($A$7=Nutrients!$B$79,Nutrients!$EX$79,(IF($A$7=Nutrients!$B$77,Nutrients!$EX$77,Nutrients!$EX$78)))))*L$7))</f>
        <v>27000</v>
      </c>
      <c r="M335" s="56">
        <f>(SUMPRODUCT(M$8:M$217,Nutrients!$EX$8:$EX$217)+(IF($A$6=Nutrients!$B$8,Nutrients!$EX$8,Nutrients!$EX$9)*M$6)+(((IF($A$7=Nutrients!$B$79,Nutrients!$EX$79,(IF($A$7=Nutrients!$B$77,Nutrients!$EX$77,Nutrients!$EX$78)))))*M$7))</f>
        <v>27000</v>
      </c>
      <c r="N335" s="56">
        <f>(SUMPRODUCT(N$8:N$217,Nutrients!$EX$8:$EX$217)+(IF($A$6=Nutrients!$B$8,Nutrients!$EX$8,Nutrients!$EX$9)*N$6)+(((IF($A$7=Nutrients!$B$79,Nutrients!$EX$79,(IF($A$7=Nutrients!$B$77,Nutrients!$EX$77,Nutrients!$EX$78)))))*N$7))</f>
        <v>27000</v>
      </c>
      <c r="O335" s="436"/>
      <c r="P335" s="56">
        <f>(SUMPRODUCT(P$8:P$217,Nutrients!$EX$8:$EX$217)+(IF($A$6=Nutrients!$B$8,Nutrients!$EX$8,Nutrients!$EX$9)*P$6)+(((IF($A$7=Nutrients!$B$79,Nutrients!$EX$79,(IF($A$7=Nutrients!$B$77,Nutrients!$EX$77,Nutrients!$EX$78)))))*P$7))</f>
        <v>18000</v>
      </c>
      <c r="Q335" s="56">
        <f>(SUMPRODUCT(Q$8:Q$217,Nutrients!$EX$8:$EX$217)+(IF($A$6=Nutrients!$B$8,Nutrients!$EX$8,Nutrients!$EX$9)*Q$6)+(((IF($A$7=Nutrients!$B$79,Nutrients!$EX$79,(IF($A$7=Nutrients!$B$77,Nutrients!$EX$77,Nutrients!$EX$78)))))*Q$7))</f>
        <v>18000</v>
      </c>
      <c r="R335" s="56">
        <f>(SUMPRODUCT(R$8:R$217,Nutrients!$EX$8:$EX$217)+(IF($A$6=Nutrients!$B$8,Nutrients!$EX$8,Nutrients!$EX$9)*R$6)+(((IF($A$7=Nutrients!$B$79,Nutrients!$EX$79,(IF($A$7=Nutrients!$B$77,Nutrients!$EX$77,Nutrients!$EX$78)))))*R$7))</f>
        <v>18000</v>
      </c>
      <c r="S335" s="56">
        <f>(SUMPRODUCT(S$8:S$217,Nutrients!$EX$8:$EX$217)+(IF($A$6=Nutrients!$B$8,Nutrients!$EX$8,Nutrients!$EX$9)*S$6)+(((IF($A$7=Nutrients!$B$79,Nutrients!$EX$79,(IF($A$7=Nutrients!$B$77,Nutrients!$EX$77,Nutrients!$EX$78)))))*S$7))</f>
        <v>18000</v>
      </c>
      <c r="T335" s="56">
        <f>(SUMPRODUCT(T$8:T$217,Nutrients!$EX$8:$EX$217)+(IF($A$6=Nutrients!$B$8,Nutrients!$EX$8,Nutrients!$EX$9)*T$6)+(((IF($A$7=Nutrients!$B$79,Nutrients!$EX$79,(IF($A$7=Nutrients!$B$77,Nutrients!$EX$77,Nutrients!$EX$78)))))*T$7))</f>
        <v>18000</v>
      </c>
      <c r="U335" s="56">
        <f>(SUMPRODUCT(U$8:U$217,Nutrients!$EX$8:$EX$217)+(IF($A$6=Nutrients!$B$8,Nutrients!$EX$8,Nutrients!$EX$9)*U$6)+(((IF($A$7=Nutrients!$B$79,Nutrients!$EX$79,(IF($A$7=Nutrients!$B$77,Nutrients!$EX$77,Nutrients!$EX$78)))))*U$7))</f>
        <v>18000</v>
      </c>
      <c r="V335" s="436"/>
      <c r="W335" s="56">
        <f>(SUMPRODUCT(W$8:W$217,Nutrients!$EX$8:$EX$217)+(IF($A$6=Nutrients!$B$8,Nutrients!$EX$8,Nutrients!$EX$9)*W$6)+(((IF($A$7=Nutrients!$B$79,Nutrients!$EX$79,(IF($A$7=Nutrients!$B$77,Nutrients!$EX$77,Nutrients!$EX$78)))))*W$7))</f>
        <v>18000</v>
      </c>
      <c r="X335" s="56">
        <f>(SUMPRODUCT(X$8:X$217,Nutrients!$EX$8:$EX$217)+(IF($A$6=Nutrients!$B$8,Nutrients!$EX$8,Nutrients!$EX$9)*X$6)+(((IF($A$7=Nutrients!$B$79,Nutrients!$EX$79,(IF($A$7=Nutrients!$B$77,Nutrients!$EX$77,Nutrients!$EX$78)))))*X$7))</f>
        <v>18000</v>
      </c>
      <c r="Y335" s="56">
        <f>(SUMPRODUCT(Y$8:Y$217,Nutrients!$EX$8:$EX$217)+(IF($A$6=Nutrients!$B$8,Nutrients!$EX$8,Nutrients!$EX$9)*Y$6)+(((IF($A$7=Nutrients!$B$79,Nutrients!$EX$79,(IF($A$7=Nutrients!$B$77,Nutrients!$EX$77,Nutrients!$EX$78)))))*Y$7))</f>
        <v>18000</v>
      </c>
      <c r="Z335" s="56">
        <f>(SUMPRODUCT(Z$8:Z$217,Nutrients!$EX$8:$EX$217)+(IF($A$6=Nutrients!$B$8,Nutrients!$EX$8,Nutrients!$EX$9)*Z$6)+(((IF($A$7=Nutrients!$B$79,Nutrients!$EX$79,(IF($A$7=Nutrients!$B$77,Nutrients!$EX$77,Nutrients!$EX$78)))))*Z$7))</f>
        <v>18000</v>
      </c>
      <c r="AA335" s="56">
        <f>(SUMPRODUCT(AA$8:AA$217,Nutrients!$EX$8:$EX$217)+(IF($A$6=Nutrients!$B$8,Nutrients!$EX$8,Nutrients!$EX$9)*AA$6)+(((IF($A$7=Nutrients!$B$79,Nutrients!$EX$79,(IF($A$7=Nutrients!$B$77,Nutrients!$EX$77,Nutrients!$EX$78)))))*AA$7))</f>
        <v>18000</v>
      </c>
      <c r="AB335" s="56">
        <f>(SUMPRODUCT(AB$8:AB$217,Nutrients!$EX$8:$EX$217)+(IF($A$6=Nutrients!$B$8,Nutrients!$EX$8,Nutrients!$EX$9)*AB$6)+(((IF($A$7=Nutrients!$B$79,Nutrients!$EX$79,(IF($A$7=Nutrients!$B$77,Nutrients!$EX$77,Nutrients!$EX$78)))))*AB$7))</f>
        <v>18000</v>
      </c>
      <c r="AC335" s="56">
        <f>(SUMPRODUCT(AC$8:AC$217,Nutrients!$EX$8:$EX$217)+(IF($A$6=Nutrients!$B$8,Nutrients!$EX$8,Nutrients!$EX$9)*AC$6)+(((IF($A$7=Nutrients!$B$79,Nutrients!$EX$79,(IF($A$7=Nutrients!$B$77,Nutrients!$EX$77,Nutrients!$EX$78)))))*AC$7))</f>
        <v>18000</v>
      </c>
      <c r="AD335" s="436"/>
      <c r="AE335" s="56">
        <f>(SUMPRODUCT(AE$8:AE$217,Nutrients!$EX$8:$EX$217)+(IF($A$6=Nutrients!$B$8,Nutrients!$EX$8,Nutrients!$EX$9)*AE$6)+(((IF($A$7=Nutrients!$B$79,Nutrients!$EX$79,(IF($A$7=Nutrients!$B$77,Nutrients!$EX$77,Nutrients!$EX$78)))))*AE$7))</f>
        <v>18000</v>
      </c>
      <c r="AF335" s="56">
        <f>(SUMPRODUCT(AF$8:AF$217,Nutrients!$EX$8:$EX$217)+(IF($A$6=Nutrients!$B$8,Nutrients!$EX$8,Nutrients!$EX$9)*AF$6)+(((IF($A$7=Nutrients!$B$79,Nutrients!$EX$79,(IF($A$7=Nutrients!$B$77,Nutrients!$EX$77,Nutrients!$EX$78)))))*AF$7))</f>
        <v>18000</v>
      </c>
      <c r="AG335" s="56">
        <f>(SUMPRODUCT(AG$8:AG$217,Nutrients!$EX$8:$EX$217)+(IF($A$6=Nutrients!$B$8,Nutrients!$EX$8,Nutrients!$EX$9)*AG$6)+(((IF($A$7=Nutrients!$B$79,Nutrients!$EX$79,(IF($A$7=Nutrients!$B$77,Nutrients!$EX$77,Nutrients!$EX$78)))))*AG$7))</f>
        <v>18000</v>
      </c>
      <c r="AH335" s="56">
        <f>(SUMPRODUCT(AH$8:AH$217,Nutrients!$EX$8:$EX$217)+(IF($A$6=Nutrients!$B$8,Nutrients!$EX$8,Nutrients!$EX$9)*AH$6)+(((IF($A$7=Nutrients!$B$79,Nutrients!$EX$79,(IF($A$7=Nutrients!$B$77,Nutrients!$EX$77,Nutrients!$EX$78)))))*AH$7))</f>
        <v>18000</v>
      </c>
      <c r="AI335" s="56">
        <f>(SUMPRODUCT(AI$8:AI$217,Nutrients!$EX$8:$EX$217)+(IF($A$6=Nutrients!$B$8,Nutrients!$EX$8,Nutrients!$EX$9)*AI$6)+(((IF($A$7=Nutrients!$B$79,Nutrients!$EX$79,(IF($A$7=Nutrients!$B$77,Nutrients!$EX$77,Nutrients!$EX$78)))))*AI$7))</f>
        <v>18000</v>
      </c>
      <c r="AJ335" s="56">
        <f>(SUMPRODUCT(AJ$8:AJ$217,Nutrients!$EX$8:$EX$217)+(IF($A$6=Nutrients!$B$8,Nutrients!$EX$8,Nutrients!$EX$9)*AJ$6)+(((IF($A$7=Nutrients!$B$79,Nutrients!$EX$79,(IF($A$7=Nutrients!$B$77,Nutrients!$EX$77,Nutrients!$EX$78)))))*AJ$7))</f>
        <v>18000</v>
      </c>
      <c r="AK335" s="56"/>
      <c r="AL335" s="56"/>
    </row>
    <row r="336" spans="1:38" x14ac:dyDescent="0.15">
      <c r="A336" s="261" t="s">
        <v>121</v>
      </c>
      <c r="B336" s="56">
        <f>(SUMPRODUCT(B$8:B$217,Nutrients!$EY$8:$EY$217)+(IF($A$6=Nutrients!$B$8,Nutrients!$EY$8,Nutrients!$EY$9)*B$6)+(((IF($A$7=Nutrients!$B$79,Nutrients!$EY$79,(IF($A$7=Nutrients!$B$77,Nutrients!$EY$77,Nutrients!$EY$78)))))*B$7))</f>
        <v>25000</v>
      </c>
      <c r="C336" s="56">
        <f>(SUMPRODUCT(C$8:C$217,Nutrients!$EY$8:$EY$217)+(IF($A$6=Nutrients!$B$8,Nutrients!$EY$8,Nutrients!$EY$9)*C$6)+(((IF($A$7=Nutrients!$B$79,Nutrients!$EY$79,(IF($A$7=Nutrients!$B$77,Nutrients!$EY$77,Nutrients!$EY$78)))))*C$7))</f>
        <v>25000</v>
      </c>
      <c r="D336" s="56">
        <f>(SUMPRODUCT(D$8:D$217,Nutrients!$EY$8:$EY$217)+(IF($A$6=Nutrients!$B$8,Nutrients!$EY$8,Nutrients!$EY$9)*D$6)+(((IF($A$7=Nutrients!$B$79,Nutrients!$EY$79,(IF($A$7=Nutrients!$B$77,Nutrients!$EY$77,Nutrients!$EY$78)))))*D$7))</f>
        <v>25000</v>
      </c>
      <c r="E336" s="56">
        <f>(SUMPRODUCT(E$8:E$217,Nutrients!$EY$8:$EY$217)+(IF($A$6=Nutrients!$B$8,Nutrients!$EY$8,Nutrients!$EY$9)*E$6)+(((IF($A$7=Nutrients!$B$79,Nutrients!$EY$79,(IF($A$7=Nutrients!$B$77,Nutrients!$EY$77,Nutrients!$EY$78)))))*E$7))</f>
        <v>25000</v>
      </c>
      <c r="F336" s="56">
        <f>(SUMPRODUCT(F$8:F$217,Nutrients!$EY$8:$EY$217)+(IF($A$6=Nutrients!$B$8,Nutrients!$EY$8,Nutrients!$EY$9)*F$6)+(((IF($A$7=Nutrients!$B$79,Nutrients!$EY$79,(IF($A$7=Nutrients!$B$77,Nutrients!$EY$77,Nutrients!$EY$78)))))*F$7))</f>
        <v>25000</v>
      </c>
      <c r="G336" s="56">
        <f>(SUMPRODUCT(G$8:G$217,Nutrients!$EY$8:$EY$217)+(IF($A$6=Nutrients!$B$8,Nutrients!$EY$8,Nutrients!$EY$9)*G$6)+(((IF($A$7=Nutrients!$B$79,Nutrients!$EY$79,(IF($A$7=Nutrients!$B$77,Nutrients!$EY$77,Nutrients!$EY$78)))))*G$7))</f>
        <v>25000</v>
      </c>
      <c r="H336" s="436"/>
      <c r="I336" s="56">
        <f>(SUMPRODUCT(I$8:I$217,Nutrients!$EY$8:$EY$217)+(IF($A$6=Nutrients!$B$8,Nutrients!$EY$8,Nutrients!$EY$9)*I$6)+(((IF($A$7=Nutrients!$B$79,Nutrients!$EY$79,(IF($A$7=Nutrients!$B$77,Nutrients!$EY$77,Nutrients!$EY$78)))))*I$7))</f>
        <v>15000</v>
      </c>
      <c r="J336" s="56">
        <f>(SUMPRODUCT(J$8:J$217,Nutrients!$EY$8:$EY$217)+(IF($A$6=Nutrients!$B$8,Nutrients!$EY$8,Nutrients!$EY$9)*J$6)+(((IF($A$7=Nutrients!$B$79,Nutrients!$EY$79,(IF($A$7=Nutrients!$B$77,Nutrients!$EY$77,Nutrients!$EY$78)))))*J$7))</f>
        <v>15000</v>
      </c>
      <c r="K336" s="56">
        <f>(SUMPRODUCT(K$8:K$217,Nutrients!$EY$8:$EY$217)+(IF($A$6=Nutrients!$B$8,Nutrients!$EY$8,Nutrients!$EY$9)*K$6)+(((IF($A$7=Nutrients!$B$79,Nutrients!$EY$79,(IF($A$7=Nutrients!$B$77,Nutrients!$EY$77,Nutrients!$EY$78)))))*K$7))</f>
        <v>15000</v>
      </c>
      <c r="L336" s="56">
        <f>(SUMPRODUCT(L$8:L$217,Nutrients!$EY$8:$EY$217)+(IF($A$6=Nutrients!$B$8,Nutrients!$EY$8,Nutrients!$EY$9)*L$6)+(((IF($A$7=Nutrients!$B$79,Nutrients!$EY$79,(IF($A$7=Nutrients!$B$77,Nutrients!$EY$77,Nutrients!$EY$78)))))*L$7))</f>
        <v>15000</v>
      </c>
      <c r="M336" s="56">
        <f>(SUMPRODUCT(M$8:M$217,Nutrients!$EY$8:$EY$217)+(IF($A$6=Nutrients!$B$8,Nutrients!$EY$8,Nutrients!$EY$9)*M$6)+(((IF($A$7=Nutrients!$B$79,Nutrients!$EY$79,(IF($A$7=Nutrients!$B$77,Nutrients!$EY$77,Nutrients!$EY$78)))))*M$7))</f>
        <v>15000</v>
      </c>
      <c r="N336" s="56">
        <f>(SUMPRODUCT(N$8:N$217,Nutrients!$EY$8:$EY$217)+(IF($A$6=Nutrients!$B$8,Nutrients!$EY$8,Nutrients!$EY$9)*N$6)+(((IF($A$7=Nutrients!$B$79,Nutrients!$EY$79,(IF($A$7=Nutrients!$B$77,Nutrients!$EY$77,Nutrients!$EY$78)))))*N$7))</f>
        <v>15000</v>
      </c>
      <c r="O336" s="436"/>
      <c r="P336" s="56">
        <f>(SUMPRODUCT(P$8:P$217,Nutrients!$EY$8:$EY$217)+(IF($A$6=Nutrients!$B$8,Nutrients!$EY$8,Nutrients!$EY$9)*P$6)+(((IF($A$7=Nutrients!$B$79,Nutrients!$EY$79,(IF($A$7=Nutrients!$B$77,Nutrients!$EY$77,Nutrients!$EY$78)))))*P$7))</f>
        <v>10000</v>
      </c>
      <c r="Q336" s="56">
        <f>(SUMPRODUCT(Q$8:Q$217,Nutrients!$EY$8:$EY$217)+(IF($A$6=Nutrients!$B$8,Nutrients!$EY$8,Nutrients!$EY$9)*Q$6)+(((IF($A$7=Nutrients!$B$79,Nutrients!$EY$79,(IF($A$7=Nutrients!$B$77,Nutrients!$EY$77,Nutrients!$EY$78)))))*Q$7))</f>
        <v>10000</v>
      </c>
      <c r="R336" s="56">
        <f>(SUMPRODUCT(R$8:R$217,Nutrients!$EY$8:$EY$217)+(IF($A$6=Nutrients!$B$8,Nutrients!$EY$8,Nutrients!$EY$9)*R$6)+(((IF($A$7=Nutrients!$B$79,Nutrients!$EY$79,(IF($A$7=Nutrients!$B$77,Nutrients!$EY$77,Nutrients!$EY$78)))))*R$7))</f>
        <v>10000</v>
      </c>
      <c r="S336" s="56">
        <f>(SUMPRODUCT(S$8:S$217,Nutrients!$EY$8:$EY$217)+(IF($A$6=Nutrients!$B$8,Nutrients!$EY$8,Nutrients!$EY$9)*S$6)+(((IF($A$7=Nutrients!$B$79,Nutrients!$EY$79,(IF($A$7=Nutrients!$B$77,Nutrients!$EY$77,Nutrients!$EY$78)))))*S$7))</f>
        <v>10000</v>
      </c>
      <c r="T336" s="56">
        <f>(SUMPRODUCT(T$8:T$217,Nutrients!$EY$8:$EY$217)+(IF($A$6=Nutrients!$B$8,Nutrients!$EY$8,Nutrients!$EY$9)*T$6)+(((IF($A$7=Nutrients!$B$79,Nutrients!$EY$79,(IF($A$7=Nutrients!$B$77,Nutrients!$EY$77,Nutrients!$EY$78)))))*T$7))</f>
        <v>10000</v>
      </c>
      <c r="U336" s="56">
        <f>(SUMPRODUCT(U$8:U$217,Nutrients!$EY$8:$EY$217)+(IF($A$6=Nutrients!$B$8,Nutrients!$EY$8,Nutrients!$EY$9)*U$6)+(((IF($A$7=Nutrients!$B$79,Nutrients!$EY$79,(IF($A$7=Nutrients!$B$77,Nutrients!$EY$77,Nutrients!$EY$78)))))*U$7))</f>
        <v>10000</v>
      </c>
      <c r="V336" s="436"/>
      <c r="W336" s="56">
        <f>(SUMPRODUCT(W$8:W$217,Nutrients!$EY$8:$EY$217)+(IF($A$6=Nutrients!$B$8,Nutrients!$EY$8,Nutrients!$EY$9)*W$6)+(((IF($A$7=Nutrients!$B$79,Nutrients!$EY$79,(IF($A$7=Nutrients!$B$77,Nutrients!$EY$77,Nutrients!$EY$78)))))*W$7))</f>
        <v>10000</v>
      </c>
      <c r="X336" s="56">
        <f>(SUMPRODUCT(X$8:X$217,Nutrients!$EY$8:$EY$217)+(IF($A$6=Nutrients!$B$8,Nutrients!$EY$8,Nutrients!$EY$9)*X$6)+(((IF($A$7=Nutrients!$B$79,Nutrients!$EY$79,(IF($A$7=Nutrients!$B$77,Nutrients!$EY$77,Nutrients!$EY$78)))))*X$7))</f>
        <v>10000</v>
      </c>
      <c r="Y336" s="56">
        <f>(SUMPRODUCT(Y$8:Y$217,Nutrients!$EY$8:$EY$217)+(IF($A$6=Nutrients!$B$8,Nutrients!$EY$8,Nutrients!$EY$9)*Y$6)+(((IF($A$7=Nutrients!$B$79,Nutrients!$EY$79,(IF($A$7=Nutrients!$B$77,Nutrients!$EY$77,Nutrients!$EY$78)))))*Y$7))</f>
        <v>10000</v>
      </c>
      <c r="Z336" s="56">
        <f>(SUMPRODUCT(Z$8:Z$217,Nutrients!$EY$8:$EY$217)+(IF($A$6=Nutrients!$B$8,Nutrients!$EY$8,Nutrients!$EY$9)*Z$6)+(((IF($A$7=Nutrients!$B$79,Nutrients!$EY$79,(IF($A$7=Nutrients!$B$77,Nutrients!$EY$77,Nutrients!$EY$78)))))*Z$7))</f>
        <v>10000</v>
      </c>
      <c r="AA336" s="56">
        <f>(SUMPRODUCT(AA$8:AA$217,Nutrients!$EY$8:$EY$217)+(IF($A$6=Nutrients!$B$8,Nutrients!$EY$8,Nutrients!$EY$9)*AA$6)+(((IF($A$7=Nutrients!$B$79,Nutrients!$EY$79,(IF($A$7=Nutrients!$B$77,Nutrients!$EY$77,Nutrients!$EY$78)))))*AA$7))</f>
        <v>10000</v>
      </c>
      <c r="AB336" s="56">
        <f>(SUMPRODUCT(AB$8:AB$217,Nutrients!$EY$8:$EY$217)+(IF($A$6=Nutrients!$B$8,Nutrients!$EY$8,Nutrients!$EY$9)*AB$6)+(((IF($A$7=Nutrients!$B$79,Nutrients!$EY$79,(IF($A$7=Nutrients!$B$77,Nutrients!$EY$77,Nutrients!$EY$78)))))*AB$7))</f>
        <v>10000</v>
      </c>
      <c r="AC336" s="56">
        <f>(SUMPRODUCT(AC$8:AC$217,Nutrients!$EY$8:$EY$217)+(IF($A$6=Nutrients!$B$8,Nutrients!$EY$8,Nutrients!$EY$9)*AC$6)+(((IF($A$7=Nutrients!$B$79,Nutrients!$EY$79,(IF($A$7=Nutrients!$B$77,Nutrients!$EY$77,Nutrients!$EY$78)))))*AC$7))</f>
        <v>10000</v>
      </c>
      <c r="AD336" s="436"/>
      <c r="AE336" s="56">
        <f>(SUMPRODUCT(AE$8:AE$217,Nutrients!$EY$8:$EY$217)+(IF($A$6=Nutrients!$B$8,Nutrients!$EY$8,Nutrients!$EY$9)*AE$6)+(((IF($A$7=Nutrients!$B$79,Nutrients!$EY$79,(IF($A$7=Nutrients!$B$77,Nutrients!$EY$77,Nutrients!$EY$78)))))*AE$7))</f>
        <v>10000</v>
      </c>
      <c r="AF336" s="56">
        <f>(SUMPRODUCT(AF$8:AF$217,Nutrients!$EY$8:$EY$217)+(IF($A$6=Nutrients!$B$8,Nutrients!$EY$8,Nutrients!$EY$9)*AF$6)+(((IF($A$7=Nutrients!$B$79,Nutrients!$EY$79,(IF($A$7=Nutrients!$B$77,Nutrients!$EY$77,Nutrients!$EY$78)))))*AF$7))</f>
        <v>10000</v>
      </c>
      <c r="AG336" s="56">
        <f>(SUMPRODUCT(AG$8:AG$217,Nutrients!$EY$8:$EY$217)+(IF($A$6=Nutrients!$B$8,Nutrients!$EY$8,Nutrients!$EY$9)*AG$6)+(((IF($A$7=Nutrients!$B$79,Nutrients!$EY$79,(IF($A$7=Nutrients!$B$77,Nutrients!$EY$77,Nutrients!$EY$78)))))*AG$7))</f>
        <v>10000</v>
      </c>
      <c r="AH336" s="56">
        <f>(SUMPRODUCT(AH$8:AH$217,Nutrients!$EY$8:$EY$217)+(IF($A$6=Nutrients!$B$8,Nutrients!$EY$8,Nutrients!$EY$9)*AH$6)+(((IF($A$7=Nutrients!$B$79,Nutrients!$EY$79,(IF($A$7=Nutrients!$B$77,Nutrients!$EY$77,Nutrients!$EY$78)))))*AH$7))</f>
        <v>10000</v>
      </c>
      <c r="AI336" s="56">
        <f>(SUMPRODUCT(AI$8:AI$217,Nutrients!$EY$8:$EY$217)+(IF($A$6=Nutrients!$B$8,Nutrients!$EY$8,Nutrients!$EY$9)*AI$6)+(((IF($A$7=Nutrients!$B$79,Nutrients!$EY$79,(IF($A$7=Nutrients!$B$77,Nutrients!$EY$77,Nutrients!$EY$78)))))*AI$7))</f>
        <v>10000</v>
      </c>
      <c r="AJ336" s="56">
        <f>(SUMPRODUCT(AJ$8:AJ$217,Nutrients!$EY$8:$EY$217)+(IF($A$6=Nutrients!$B$8,Nutrients!$EY$8,Nutrients!$EY$9)*AJ$6)+(((IF($A$7=Nutrients!$B$79,Nutrients!$EY$79,(IF($A$7=Nutrients!$B$77,Nutrients!$EY$77,Nutrients!$EY$78)))))*AJ$7))</f>
        <v>10000</v>
      </c>
      <c r="AK336" s="56"/>
      <c r="AL336" s="56"/>
    </row>
    <row r="337" spans="1:38" x14ac:dyDescent="0.15">
      <c r="A337" s="261" t="s">
        <v>122</v>
      </c>
      <c r="B337" s="56">
        <f>(SUMPRODUCT(B$8:B$217,Nutrients!$EZ$8:$EZ$217)+(IF($A$6=Nutrients!$B$8,Nutrients!$EZ$8,Nutrients!$EZ$9)*B$6)+(((IF($A$7=Nutrients!$B$79,Nutrients!$EZ$79,(IF($A$7=Nutrients!$B$77,Nutrients!$EZ$77,Nutrients!$EZ$78)))))*B$7))</f>
        <v>7500</v>
      </c>
      <c r="C337" s="56">
        <f>(SUMPRODUCT(C$8:C$217,Nutrients!$EZ$8:$EZ$217)+(IF($A$6=Nutrients!$B$8,Nutrients!$EZ$8,Nutrients!$EZ$9)*C$6)+(((IF($A$7=Nutrients!$B$79,Nutrients!$EZ$79,(IF($A$7=Nutrients!$B$77,Nutrients!$EZ$77,Nutrients!$EZ$78)))))*C$7))</f>
        <v>7500</v>
      </c>
      <c r="D337" s="56">
        <f>(SUMPRODUCT(D$8:D$217,Nutrients!$EZ$8:$EZ$217)+(IF($A$6=Nutrients!$B$8,Nutrients!$EZ$8,Nutrients!$EZ$9)*D$6)+(((IF($A$7=Nutrients!$B$79,Nutrients!$EZ$79,(IF($A$7=Nutrients!$B$77,Nutrients!$EZ$77,Nutrients!$EZ$78)))))*D$7))</f>
        <v>7500</v>
      </c>
      <c r="E337" s="56">
        <f>(SUMPRODUCT(E$8:E$217,Nutrients!$EZ$8:$EZ$217)+(IF($A$6=Nutrients!$B$8,Nutrients!$EZ$8,Nutrients!$EZ$9)*E$6)+(((IF($A$7=Nutrients!$B$79,Nutrients!$EZ$79,(IF($A$7=Nutrients!$B$77,Nutrients!$EZ$77,Nutrients!$EZ$78)))))*E$7))</f>
        <v>7500</v>
      </c>
      <c r="F337" s="56">
        <f>(SUMPRODUCT(F$8:F$217,Nutrients!$EZ$8:$EZ$217)+(IF($A$6=Nutrients!$B$8,Nutrients!$EZ$8,Nutrients!$EZ$9)*F$6)+(((IF($A$7=Nutrients!$B$79,Nutrients!$EZ$79,(IF($A$7=Nutrients!$B$77,Nutrients!$EZ$77,Nutrients!$EZ$78)))))*F$7))</f>
        <v>7500</v>
      </c>
      <c r="G337" s="56">
        <f>(SUMPRODUCT(G$8:G$217,Nutrients!$EZ$8:$EZ$217)+(IF($A$6=Nutrients!$B$8,Nutrients!$EZ$8,Nutrients!$EZ$9)*G$6)+(((IF($A$7=Nutrients!$B$79,Nutrients!$EZ$79,(IF($A$7=Nutrients!$B$77,Nutrients!$EZ$77,Nutrients!$EZ$78)))))*G$7))</f>
        <v>7500</v>
      </c>
      <c r="H337" s="436"/>
      <c r="I337" s="56">
        <f>(SUMPRODUCT(I$8:I$217,Nutrients!$EZ$8:$EZ$217)+(IF($A$6=Nutrients!$B$8,Nutrients!$EZ$8,Nutrients!$EZ$9)*I$6)+(((IF($A$7=Nutrients!$B$79,Nutrients!$EZ$79,(IF($A$7=Nutrients!$B$77,Nutrients!$EZ$77,Nutrients!$EZ$78)))))*I$7))</f>
        <v>4500</v>
      </c>
      <c r="J337" s="56">
        <f>(SUMPRODUCT(J$8:J$217,Nutrients!$EZ$8:$EZ$217)+(IF($A$6=Nutrients!$B$8,Nutrients!$EZ$8,Nutrients!$EZ$9)*J$6)+(((IF($A$7=Nutrients!$B$79,Nutrients!$EZ$79,(IF($A$7=Nutrients!$B$77,Nutrients!$EZ$77,Nutrients!$EZ$78)))))*J$7))</f>
        <v>4500</v>
      </c>
      <c r="K337" s="56">
        <f>(SUMPRODUCT(K$8:K$217,Nutrients!$EZ$8:$EZ$217)+(IF($A$6=Nutrients!$B$8,Nutrients!$EZ$8,Nutrients!$EZ$9)*K$6)+(((IF($A$7=Nutrients!$B$79,Nutrients!$EZ$79,(IF($A$7=Nutrients!$B$77,Nutrients!$EZ$77,Nutrients!$EZ$78)))))*K$7))</f>
        <v>4500</v>
      </c>
      <c r="L337" s="56">
        <f>(SUMPRODUCT(L$8:L$217,Nutrients!$EZ$8:$EZ$217)+(IF($A$6=Nutrients!$B$8,Nutrients!$EZ$8,Nutrients!$EZ$9)*L$6)+(((IF($A$7=Nutrients!$B$79,Nutrients!$EZ$79,(IF($A$7=Nutrients!$B$77,Nutrients!$EZ$77,Nutrients!$EZ$78)))))*L$7))</f>
        <v>4500</v>
      </c>
      <c r="M337" s="56">
        <f>(SUMPRODUCT(M$8:M$217,Nutrients!$EZ$8:$EZ$217)+(IF($A$6=Nutrients!$B$8,Nutrients!$EZ$8,Nutrients!$EZ$9)*M$6)+(((IF($A$7=Nutrients!$B$79,Nutrients!$EZ$79,(IF($A$7=Nutrients!$B$77,Nutrients!$EZ$77,Nutrients!$EZ$78)))))*M$7))</f>
        <v>4500</v>
      </c>
      <c r="N337" s="56">
        <f>(SUMPRODUCT(N$8:N$217,Nutrients!$EZ$8:$EZ$217)+(IF($A$6=Nutrients!$B$8,Nutrients!$EZ$8,Nutrients!$EZ$9)*N$6)+(((IF($A$7=Nutrients!$B$79,Nutrients!$EZ$79,(IF($A$7=Nutrients!$B$77,Nutrients!$EZ$77,Nutrients!$EZ$78)))))*N$7))</f>
        <v>4500</v>
      </c>
      <c r="O337" s="436"/>
      <c r="P337" s="56">
        <f>(SUMPRODUCT(P$8:P$217,Nutrients!$EZ$8:$EZ$217)+(IF($A$6=Nutrients!$B$8,Nutrients!$EZ$8,Nutrients!$EZ$9)*P$6)+(((IF($A$7=Nutrients!$B$79,Nutrients!$EZ$79,(IF($A$7=Nutrients!$B$77,Nutrients!$EZ$77,Nutrients!$EZ$78)))))*P$7))</f>
        <v>3000</v>
      </c>
      <c r="Q337" s="56">
        <f>(SUMPRODUCT(Q$8:Q$217,Nutrients!$EZ$8:$EZ$217)+(IF($A$6=Nutrients!$B$8,Nutrients!$EZ$8,Nutrients!$EZ$9)*Q$6)+(((IF($A$7=Nutrients!$B$79,Nutrients!$EZ$79,(IF($A$7=Nutrients!$B$77,Nutrients!$EZ$77,Nutrients!$EZ$78)))))*Q$7))</f>
        <v>3000</v>
      </c>
      <c r="R337" s="56">
        <f>(SUMPRODUCT(R$8:R$217,Nutrients!$EZ$8:$EZ$217)+(IF($A$6=Nutrients!$B$8,Nutrients!$EZ$8,Nutrients!$EZ$9)*R$6)+(((IF($A$7=Nutrients!$B$79,Nutrients!$EZ$79,(IF($A$7=Nutrients!$B$77,Nutrients!$EZ$77,Nutrients!$EZ$78)))))*R$7))</f>
        <v>3000</v>
      </c>
      <c r="S337" s="56">
        <f>(SUMPRODUCT(S$8:S$217,Nutrients!$EZ$8:$EZ$217)+(IF($A$6=Nutrients!$B$8,Nutrients!$EZ$8,Nutrients!$EZ$9)*S$6)+(((IF($A$7=Nutrients!$B$79,Nutrients!$EZ$79,(IF($A$7=Nutrients!$B$77,Nutrients!$EZ$77,Nutrients!$EZ$78)))))*S$7))</f>
        <v>3000</v>
      </c>
      <c r="T337" s="56">
        <f>(SUMPRODUCT(T$8:T$217,Nutrients!$EZ$8:$EZ$217)+(IF($A$6=Nutrients!$B$8,Nutrients!$EZ$8,Nutrients!$EZ$9)*T$6)+(((IF($A$7=Nutrients!$B$79,Nutrients!$EZ$79,(IF($A$7=Nutrients!$B$77,Nutrients!$EZ$77,Nutrients!$EZ$78)))))*T$7))</f>
        <v>3000</v>
      </c>
      <c r="U337" s="56">
        <f>(SUMPRODUCT(U$8:U$217,Nutrients!$EZ$8:$EZ$217)+(IF($A$6=Nutrients!$B$8,Nutrients!$EZ$8,Nutrients!$EZ$9)*U$6)+(((IF($A$7=Nutrients!$B$79,Nutrients!$EZ$79,(IF($A$7=Nutrients!$B$77,Nutrients!$EZ$77,Nutrients!$EZ$78)))))*U$7))</f>
        <v>3000</v>
      </c>
      <c r="V337" s="436"/>
      <c r="W337" s="56">
        <f>(SUMPRODUCT(W$8:W$217,Nutrients!$EZ$8:$EZ$217)+(IF($A$6=Nutrients!$B$8,Nutrients!$EZ$8,Nutrients!$EZ$9)*W$6)+(((IF($A$7=Nutrients!$B$79,Nutrients!$EZ$79,(IF($A$7=Nutrients!$B$77,Nutrients!$EZ$77,Nutrients!$EZ$78)))))*W$7))</f>
        <v>3000</v>
      </c>
      <c r="X337" s="56">
        <f>(SUMPRODUCT(X$8:X$217,Nutrients!$EZ$8:$EZ$217)+(IF($A$6=Nutrients!$B$8,Nutrients!$EZ$8,Nutrients!$EZ$9)*X$6)+(((IF($A$7=Nutrients!$B$79,Nutrients!$EZ$79,(IF($A$7=Nutrients!$B$77,Nutrients!$EZ$77,Nutrients!$EZ$78)))))*X$7))</f>
        <v>3000</v>
      </c>
      <c r="Y337" s="56">
        <f>(SUMPRODUCT(Y$8:Y$217,Nutrients!$EZ$8:$EZ$217)+(IF($A$6=Nutrients!$B$8,Nutrients!$EZ$8,Nutrients!$EZ$9)*Y$6)+(((IF($A$7=Nutrients!$B$79,Nutrients!$EZ$79,(IF($A$7=Nutrients!$B$77,Nutrients!$EZ$77,Nutrients!$EZ$78)))))*Y$7))</f>
        <v>3000</v>
      </c>
      <c r="Z337" s="56">
        <f>(SUMPRODUCT(Z$8:Z$217,Nutrients!$EZ$8:$EZ$217)+(IF($A$6=Nutrients!$B$8,Nutrients!$EZ$8,Nutrients!$EZ$9)*Z$6)+(((IF($A$7=Nutrients!$B$79,Nutrients!$EZ$79,(IF($A$7=Nutrients!$B$77,Nutrients!$EZ$77,Nutrients!$EZ$78)))))*Z$7))</f>
        <v>3000</v>
      </c>
      <c r="AA337" s="56">
        <f>(SUMPRODUCT(AA$8:AA$217,Nutrients!$EZ$8:$EZ$217)+(IF($A$6=Nutrients!$B$8,Nutrients!$EZ$8,Nutrients!$EZ$9)*AA$6)+(((IF($A$7=Nutrients!$B$79,Nutrients!$EZ$79,(IF($A$7=Nutrients!$B$77,Nutrients!$EZ$77,Nutrients!$EZ$78)))))*AA$7))</f>
        <v>3000</v>
      </c>
      <c r="AB337" s="56">
        <f>(SUMPRODUCT(AB$8:AB$217,Nutrients!$EZ$8:$EZ$217)+(IF($A$6=Nutrients!$B$8,Nutrients!$EZ$8,Nutrients!$EZ$9)*AB$6)+(((IF($A$7=Nutrients!$B$79,Nutrients!$EZ$79,(IF($A$7=Nutrients!$B$77,Nutrients!$EZ$77,Nutrients!$EZ$78)))))*AB$7))</f>
        <v>3000</v>
      </c>
      <c r="AC337" s="56">
        <f>(SUMPRODUCT(AC$8:AC$217,Nutrients!$EZ$8:$EZ$217)+(IF($A$6=Nutrients!$B$8,Nutrients!$EZ$8,Nutrients!$EZ$9)*AC$6)+(((IF($A$7=Nutrients!$B$79,Nutrients!$EZ$79,(IF($A$7=Nutrients!$B$77,Nutrients!$EZ$77,Nutrients!$EZ$78)))))*AC$7))</f>
        <v>3000</v>
      </c>
      <c r="AD337" s="436"/>
      <c r="AE337" s="56">
        <f>(SUMPRODUCT(AE$8:AE$217,Nutrients!$EZ$8:$EZ$217)+(IF($A$6=Nutrients!$B$8,Nutrients!$EZ$8,Nutrients!$EZ$9)*AE$6)+(((IF($A$7=Nutrients!$B$79,Nutrients!$EZ$79,(IF($A$7=Nutrients!$B$77,Nutrients!$EZ$77,Nutrients!$EZ$78)))))*AE$7))</f>
        <v>3000</v>
      </c>
      <c r="AF337" s="56">
        <f>(SUMPRODUCT(AF$8:AF$217,Nutrients!$EZ$8:$EZ$217)+(IF($A$6=Nutrients!$B$8,Nutrients!$EZ$8,Nutrients!$EZ$9)*AF$6)+(((IF($A$7=Nutrients!$B$79,Nutrients!$EZ$79,(IF($A$7=Nutrients!$B$77,Nutrients!$EZ$77,Nutrients!$EZ$78)))))*AF$7))</f>
        <v>3000</v>
      </c>
      <c r="AG337" s="56">
        <f>(SUMPRODUCT(AG$8:AG$217,Nutrients!$EZ$8:$EZ$217)+(IF($A$6=Nutrients!$B$8,Nutrients!$EZ$8,Nutrients!$EZ$9)*AG$6)+(((IF($A$7=Nutrients!$B$79,Nutrients!$EZ$79,(IF($A$7=Nutrients!$B$77,Nutrients!$EZ$77,Nutrients!$EZ$78)))))*AG$7))</f>
        <v>3000</v>
      </c>
      <c r="AH337" s="56">
        <f>(SUMPRODUCT(AH$8:AH$217,Nutrients!$EZ$8:$EZ$217)+(IF($A$6=Nutrients!$B$8,Nutrients!$EZ$8,Nutrients!$EZ$9)*AH$6)+(((IF($A$7=Nutrients!$B$79,Nutrients!$EZ$79,(IF($A$7=Nutrients!$B$77,Nutrients!$EZ$77,Nutrients!$EZ$78)))))*AH$7))</f>
        <v>3000</v>
      </c>
      <c r="AI337" s="56">
        <f>(SUMPRODUCT(AI$8:AI$217,Nutrients!$EZ$8:$EZ$217)+(IF($A$6=Nutrients!$B$8,Nutrients!$EZ$8,Nutrients!$EZ$9)*AI$6)+(((IF($A$7=Nutrients!$B$79,Nutrients!$EZ$79,(IF($A$7=Nutrients!$B$77,Nutrients!$EZ$77,Nutrients!$EZ$78)))))*AI$7))</f>
        <v>3000</v>
      </c>
      <c r="AJ337" s="56">
        <f>(SUMPRODUCT(AJ$8:AJ$217,Nutrients!$EZ$8:$EZ$217)+(IF($A$6=Nutrients!$B$8,Nutrients!$EZ$8,Nutrients!$EZ$9)*AJ$6)+(((IF($A$7=Nutrients!$B$79,Nutrients!$EZ$79,(IF($A$7=Nutrients!$B$77,Nutrients!$EZ$77,Nutrients!$EZ$78)))))*AJ$7))</f>
        <v>3000</v>
      </c>
      <c r="AK337" s="56"/>
      <c r="AL337" s="56"/>
    </row>
    <row r="338" spans="1:38" x14ac:dyDescent="0.15">
      <c r="A338" s="261" t="s">
        <v>123</v>
      </c>
      <c r="B338" s="56">
        <f>(SUMPRODUCT(B$8:B$217,Nutrients!$FA$8:$FA$217)+(IF($A$6=Nutrients!$B$8,Nutrients!$FA$8,Nutrients!$FA$9)*B$6)+(((IF($A$7=Nutrients!$B$79,Nutrients!$FA$79,(IF($A$7=Nutrients!$B$77,Nutrients!$FA$77,Nutrients!$FA$78)))))*B$7))</f>
        <v>0</v>
      </c>
      <c r="C338" s="56">
        <f>(SUMPRODUCT(C$8:C$217,Nutrients!$FA$8:$FA$217)+(IF($A$6=Nutrients!$B$8,Nutrients!$FA$8,Nutrients!$FA$9)*C$6)+(((IF($A$7=Nutrients!$B$79,Nutrients!$FA$79,(IF($A$7=Nutrients!$B$77,Nutrients!$FA$77,Nutrients!$FA$78)))))*C$7))</f>
        <v>0</v>
      </c>
      <c r="D338" s="56">
        <f>(SUMPRODUCT(D$8:D$217,Nutrients!$FA$8:$FA$217)+(IF($A$6=Nutrients!$B$8,Nutrients!$FA$8,Nutrients!$FA$9)*D$6)+(((IF($A$7=Nutrients!$B$79,Nutrients!$FA$79,(IF($A$7=Nutrients!$B$77,Nutrients!$FA$77,Nutrients!$FA$78)))))*D$7))</f>
        <v>0</v>
      </c>
      <c r="E338" s="56">
        <f>(SUMPRODUCT(E$8:E$217,Nutrients!$FA$8:$FA$217)+(IF($A$6=Nutrients!$B$8,Nutrients!$FA$8,Nutrients!$FA$9)*E$6)+(((IF($A$7=Nutrients!$B$79,Nutrients!$FA$79,(IF($A$7=Nutrients!$B$77,Nutrients!$FA$77,Nutrients!$FA$78)))))*E$7))</f>
        <v>0</v>
      </c>
      <c r="F338" s="56">
        <f>(SUMPRODUCT(F$8:F$217,Nutrients!$FA$8:$FA$217)+(IF($A$6=Nutrients!$B$8,Nutrients!$FA$8,Nutrients!$FA$9)*F$6)+(((IF($A$7=Nutrients!$B$79,Nutrients!$FA$79,(IF($A$7=Nutrients!$B$77,Nutrients!$FA$77,Nutrients!$FA$78)))))*F$7))</f>
        <v>0</v>
      </c>
      <c r="G338" s="56">
        <f>(SUMPRODUCT(G$8:G$217,Nutrients!$FA$8:$FA$217)+(IF($A$6=Nutrients!$B$8,Nutrients!$FA$8,Nutrients!$FA$9)*G$6)+(((IF($A$7=Nutrients!$B$79,Nutrients!$FA$79,(IF($A$7=Nutrients!$B$77,Nutrients!$FA$77,Nutrients!$FA$78)))))*G$7))</f>
        <v>0</v>
      </c>
      <c r="H338" s="436"/>
      <c r="I338" s="56">
        <f>(SUMPRODUCT(I$8:I$217,Nutrients!$FA$8:$FA$217)+(IF($A$6=Nutrients!$B$8,Nutrients!$FA$8,Nutrients!$FA$9)*I$6)+(((IF($A$7=Nutrients!$B$79,Nutrients!$FA$79,(IF($A$7=Nutrients!$B$77,Nutrients!$FA$77,Nutrients!$FA$78)))))*I$7))</f>
        <v>0</v>
      </c>
      <c r="J338" s="56">
        <f>(SUMPRODUCT(J$8:J$217,Nutrients!$FA$8:$FA$217)+(IF($A$6=Nutrients!$B$8,Nutrients!$FA$8,Nutrients!$FA$9)*J$6)+(((IF($A$7=Nutrients!$B$79,Nutrients!$FA$79,(IF($A$7=Nutrients!$B$77,Nutrients!$FA$77,Nutrients!$FA$78)))))*J$7))</f>
        <v>0</v>
      </c>
      <c r="K338" s="56">
        <f>(SUMPRODUCT(K$8:K$217,Nutrients!$FA$8:$FA$217)+(IF($A$6=Nutrients!$B$8,Nutrients!$FA$8,Nutrients!$FA$9)*K$6)+(((IF($A$7=Nutrients!$B$79,Nutrients!$FA$79,(IF($A$7=Nutrients!$B$77,Nutrients!$FA$77,Nutrients!$FA$78)))))*K$7))</f>
        <v>0</v>
      </c>
      <c r="L338" s="56">
        <f>(SUMPRODUCT(L$8:L$217,Nutrients!$FA$8:$FA$217)+(IF($A$6=Nutrients!$B$8,Nutrients!$FA$8,Nutrients!$FA$9)*L$6)+(((IF($A$7=Nutrients!$B$79,Nutrients!$FA$79,(IF($A$7=Nutrients!$B$77,Nutrients!$FA$77,Nutrients!$FA$78)))))*L$7))</f>
        <v>0</v>
      </c>
      <c r="M338" s="56">
        <f>(SUMPRODUCT(M$8:M$217,Nutrients!$FA$8:$FA$217)+(IF($A$6=Nutrients!$B$8,Nutrients!$FA$8,Nutrients!$FA$9)*M$6)+(((IF($A$7=Nutrients!$B$79,Nutrients!$FA$79,(IF($A$7=Nutrients!$B$77,Nutrients!$FA$77,Nutrients!$FA$78)))))*M$7))</f>
        <v>0</v>
      </c>
      <c r="N338" s="56">
        <f>(SUMPRODUCT(N$8:N$217,Nutrients!$FA$8:$FA$217)+(IF($A$6=Nutrients!$B$8,Nutrients!$FA$8,Nutrients!$FA$9)*N$6)+(((IF($A$7=Nutrients!$B$79,Nutrients!$FA$79,(IF($A$7=Nutrients!$B$77,Nutrients!$FA$77,Nutrients!$FA$78)))))*N$7))</f>
        <v>0</v>
      </c>
      <c r="O338" s="436"/>
      <c r="P338" s="56">
        <f>(SUMPRODUCT(P$8:P$217,Nutrients!$FA$8:$FA$217)+(IF($A$6=Nutrients!$B$8,Nutrients!$FA$8,Nutrients!$FA$9)*P$6)+(((IF($A$7=Nutrients!$B$79,Nutrients!$FA$79,(IF($A$7=Nutrients!$B$77,Nutrients!$FA$77,Nutrients!$FA$78)))))*P$7))</f>
        <v>0</v>
      </c>
      <c r="Q338" s="56">
        <f>(SUMPRODUCT(Q$8:Q$217,Nutrients!$FA$8:$FA$217)+(IF($A$6=Nutrients!$B$8,Nutrients!$FA$8,Nutrients!$FA$9)*Q$6)+(((IF($A$7=Nutrients!$B$79,Nutrients!$FA$79,(IF($A$7=Nutrients!$B$77,Nutrients!$FA$77,Nutrients!$FA$78)))))*Q$7))</f>
        <v>0</v>
      </c>
      <c r="R338" s="56">
        <f>(SUMPRODUCT(R$8:R$217,Nutrients!$FA$8:$FA$217)+(IF($A$6=Nutrients!$B$8,Nutrients!$FA$8,Nutrients!$FA$9)*R$6)+(((IF($A$7=Nutrients!$B$79,Nutrients!$FA$79,(IF($A$7=Nutrients!$B$77,Nutrients!$FA$77,Nutrients!$FA$78)))))*R$7))</f>
        <v>0</v>
      </c>
      <c r="S338" s="56">
        <f>(SUMPRODUCT(S$8:S$217,Nutrients!$FA$8:$FA$217)+(IF($A$6=Nutrients!$B$8,Nutrients!$FA$8,Nutrients!$FA$9)*S$6)+(((IF($A$7=Nutrients!$B$79,Nutrients!$FA$79,(IF($A$7=Nutrients!$B$77,Nutrients!$FA$77,Nutrients!$FA$78)))))*S$7))</f>
        <v>0</v>
      </c>
      <c r="T338" s="56">
        <f>(SUMPRODUCT(T$8:T$217,Nutrients!$FA$8:$FA$217)+(IF($A$6=Nutrients!$B$8,Nutrients!$FA$8,Nutrients!$FA$9)*T$6)+(((IF($A$7=Nutrients!$B$79,Nutrients!$FA$79,(IF($A$7=Nutrients!$B$77,Nutrients!$FA$77,Nutrients!$FA$78)))))*T$7))</f>
        <v>0</v>
      </c>
      <c r="U338" s="56">
        <f>(SUMPRODUCT(U$8:U$217,Nutrients!$FA$8:$FA$217)+(IF($A$6=Nutrients!$B$8,Nutrients!$FA$8,Nutrients!$FA$9)*U$6)+(((IF($A$7=Nutrients!$B$79,Nutrients!$FA$79,(IF($A$7=Nutrients!$B$77,Nutrients!$FA$77,Nutrients!$FA$78)))))*U$7))</f>
        <v>0</v>
      </c>
      <c r="V338" s="436"/>
      <c r="W338" s="56">
        <f>(SUMPRODUCT(W$8:W$217,Nutrients!$FA$8:$FA$217)+(IF($A$6=Nutrients!$B$8,Nutrients!$FA$8,Nutrients!$FA$9)*W$6)+(((IF($A$7=Nutrients!$B$79,Nutrients!$FA$79,(IF($A$7=Nutrients!$B$77,Nutrients!$FA$77,Nutrients!$FA$78)))))*W$7))</f>
        <v>0</v>
      </c>
      <c r="X338" s="56">
        <f>(SUMPRODUCT(X$8:X$217,Nutrients!$FA$8:$FA$217)+(IF($A$6=Nutrients!$B$8,Nutrients!$FA$8,Nutrients!$FA$9)*X$6)+(((IF($A$7=Nutrients!$B$79,Nutrients!$FA$79,(IF($A$7=Nutrients!$B$77,Nutrients!$FA$77,Nutrients!$FA$78)))))*X$7))</f>
        <v>0</v>
      </c>
      <c r="Y338" s="56">
        <f>(SUMPRODUCT(Y$8:Y$217,Nutrients!$FA$8:$FA$217)+(IF($A$6=Nutrients!$B$8,Nutrients!$FA$8,Nutrients!$FA$9)*Y$6)+(((IF($A$7=Nutrients!$B$79,Nutrients!$FA$79,(IF($A$7=Nutrients!$B$77,Nutrients!$FA$77,Nutrients!$FA$78)))))*Y$7))</f>
        <v>0</v>
      </c>
      <c r="Z338" s="56">
        <f>(SUMPRODUCT(Z$8:Z$217,Nutrients!$FA$8:$FA$217)+(IF($A$6=Nutrients!$B$8,Nutrients!$FA$8,Nutrients!$FA$9)*Z$6)+(((IF($A$7=Nutrients!$B$79,Nutrients!$FA$79,(IF($A$7=Nutrients!$B$77,Nutrients!$FA$77,Nutrients!$FA$78)))))*Z$7))</f>
        <v>0</v>
      </c>
      <c r="AA338" s="56">
        <f>(SUMPRODUCT(AA$8:AA$217,Nutrients!$FA$8:$FA$217)+(IF($A$6=Nutrients!$B$8,Nutrients!$FA$8,Nutrients!$FA$9)*AA$6)+(((IF($A$7=Nutrients!$B$79,Nutrients!$FA$79,(IF($A$7=Nutrients!$B$77,Nutrients!$FA$77,Nutrients!$FA$78)))))*AA$7))</f>
        <v>0</v>
      </c>
      <c r="AB338" s="56">
        <f>(SUMPRODUCT(AB$8:AB$217,Nutrients!$FA$8:$FA$217)+(IF($A$6=Nutrients!$B$8,Nutrients!$FA$8,Nutrients!$FA$9)*AB$6)+(((IF($A$7=Nutrients!$B$79,Nutrients!$FA$79,(IF($A$7=Nutrients!$B$77,Nutrients!$FA$77,Nutrients!$FA$78)))))*AB$7))</f>
        <v>0</v>
      </c>
      <c r="AC338" s="56">
        <f>(SUMPRODUCT(AC$8:AC$217,Nutrients!$FA$8:$FA$217)+(IF($A$6=Nutrients!$B$8,Nutrients!$FA$8,Nutrients!$FA$9)*AC$6)+(((IF($A$7=Nutrients!$B$79,Nutrients!$FA$79,(IF($A$7=Nutrients!$B$77,Nutrients!$FA$77,Nutrients!$FA$78)))))*AC$7))</f>
        <v>0</v>
      </c>
      <c r="AD338" s="436"/>
      <c r="AE338" s="56">
        <f>(SUMPRODUCT(AE$8:AE$217,Nutrients!$FA$8:$FA$217)+(IF($A$6=Nutrients!$B$8,Nutrients!$FA$8,Nutrients!$FA$9)*AE$6)+(((IF($A$7=Nutrients!$B$79,Nutrients!$FA$79,(IF($A$7=Nutrients!$B$77,Nutrients!$FA$77,Nutrients!$FA$78)))))*AE$7))</f>
        <v>0</v>
      </c>
      <c r="AF338" s="56">
        <f>(SUMPRODUCT(AF$8:AF$217,Nutrients!$FA$8:$FA$217)+(IF($A$6=Nutrients!$B$8,Nutrients!$FA$8,Nutrients!$FA$9)*AF$6)+(((IF($A$7=Nutrients!$B$79,Nutrients!$FA$79,(IF($A$7=Nutrients!$B$77,Nutrients!$FA$77,Nutrients!$FA$78)))))*AF$7))</f>
        <v>0</v>
      </c>
      <c r="AG338" s="56">
        <f>(SUMPRODUCT(AG$8:AG$217,Nutrients!$FA$8:$FA$217)+(IF($A$6=Nutrients!$B$8,Nutrients!$FA$8,Nutrients!$FA$9)*AG$6)+(((IF($A$7=Nutrients!$B$79,Nutrients!$FA$79,(IF($A$7=Nutrients!$B$77,Nutrients!$FA$77,Nutrients!$FA$78)))))*AG$7))</f>
        <v>0</v>
      </c>
      <c r="AH338" s="56">
        <f>(SUMPRODUCT(AH$8:AH$217,Nutrients!$FA$8:$FA$217)+(IF($A$6=Nutrients!$B$8,Nutrients!$FA$8,Nutrients!$FA$9)*AH$6)+(((IF($A$7=Nutrients!$B$79,Nutrients!$FA$79,(IF($A$7=Nutrients!$B$77,Nutrients!$FA$77,Nutrients!$FA$78)))))*AH$7))</f>
        <v>0</v>
      </c>
      <c r="AI338" s="56">
        <f>(SUMPRODUCT(AI$8:AI$217,Nutrients!$FA$8:$FA$217)+(IF($A$6=Nutrients!$B$8,Nutrients!$FA$8,Nutrients!$FA$9)*AI$6)+(((IF($A$7=Nutrients!$B$79,Nutrients!$FA$79,(IF($A$7=Nutrients!$B$77,Nutrients!$FA$77,Nutrients!$FA$78)))))*AI$7))</f>
        <v>0</v>
      </c>
      <c r="AJ338" s="56">
        <f>(SUMPRODUCT(AJ$8:AJ$217,Nutrients!$FA$8:$FA$217)+(IF($A$6=Nutrients!$B$8,Nutrients!$FA$8,Nutrients!$FA$9)*AJ$6)+(((IF($A$7=Nutrients!$B$79,Nutrients!$FA$79,(IF($A$7=Nutrients!$B$77,Nutrients!$FA$77,Nutrients!$FA$78)))))*AJ$7))</f>
        <v>0</v>
      </c>
      <c r="AK338" s="56"/>
      <c r="AL338" s="56"/>
    </row>
    <row r="339" spans="1:38" x14ac:dyDescent="0.15">
      <c r="A339" s="261" t="s">
        <v>124</v>
      </c>
      <c r="B339" s="56">
        <f>(SUMPRODUCT(B$8:B$217,Nutrients!$FB$8:$FB$217)+(IF($A$6=Nutrients!$B$8,Nutrients!$FB$8,Nutrients!$FB$9)*B$6)+(((IF($A$7=Nutrients!$B$79,Nutrients!$FB$79,(IF($A$7=Nutrients!$B$77,Nutrients!$FB$77,Nutrients!$FB$78)))))*B$7))</f>
        <v>0</v>
      </c>
      <c r="C339" s="56">
        <f>(SUMPRODUCT(C$8:C$217,Nutrients!$FB$8:$FB$217)+(IF($A$6=Nutrients!$B$8,Nutrients!$FB$8,Nutrients!$FB$9)*C$6)+(((IF($A$7=Nutrients!$B$79,Nutrients!$FB$79,(IF($A$7=Nutrients!$B$77,Nutrients!$FB$77,Nutrients!$FB$78)))))*C$7))</f>
        <v>0</v>
      </c>
      <c r="D339" s="56">
        <f>(SUMPRODUCT(D$8:D$217,Nutrients!$FB$8:$FB$217)+(IF($A$6=Nutrients!$B$8,Nutrients!$FB$8,Nutrients!$FB$9)*D$6)+(((IF($A$7=Nutrients!$B$79,Nutrients!$FB$79,(IF($A$7=Nutrients!$B$77,Nutrients!$FB$77,Nutrients!$FB$78)))))*D$7))</f>
        <v>0</v>
      </c>
      <c r="E339" s="56">
        <f>(SUMPRODUCT(E$8:E$217,Nutrients!$FB$8:$FB$217)+(IF($A$6=Nutrients!$B$8,Nutrients!$FB$8,Nutrients!$FB$9)*E$6)+(((IF($A$7=Nutrients!$B$79,Nutrients!$FB$79,(IF($A$7=Nutrients!$B$77,Nutrients!$FB$77,Nutrients!$FB$78)))))*E$7))</f>
        <v>0</v>
      </c>
      <c r="F339" s="56">
        <f>(SUMPRODUCT(F$8:F$217,Nutrients!$FB$8:$FB$217)+(IF($A$6=Nutrients!$B$8,Nutrients!$FB$8,Nutrients!$FB$9)*F$6)+(((IF($A$7=Nutrients!$B$79,Nutrients!$FB$79,(IF($A$7=Nutrients!$B$77,Nutrients!$FB$77,Nutrients!$FB$78)))))*F$7))</f>
        <v>0</v>
      </c>
      <c r="G339" s="56">
        <f>(SUMPRODUCT(G$8:G$217,Nutrients!$FB$8:$FB$217)+(IF($A$6=Nutrients!$B$8,Nutrients!$FB$8,Nutrients!$FB$9)*G$6)+(((IF($A$7=Nutrients!$B$79,Nutrients!$FB$79,(IF($A$7=Nutrients!$B$77,Nutrients!$FB$77,Nutrients!$FB$78)))))*G$7))</f>
        <v>0</v>
      </c>
      <c r="H339" s="436"/>
      <c r="I339" s="56">
        <f>(SUMPRODUCT(I$8:I$217,Nutrients!$FB$8:$FB$217)+(IF($A$6=Nutrients!$B$8,Nutrients!$FB$8,Nutrients!$FB$9)*I$6)+(((IF($A$7=Nutrients!$B$79,Nutrients!$FB$79,(IF($A$7=Nutrients!$B$77,Nutrients!$FB$77,Nutrients!$FB$78)))))*I$7))</f>
        <v>0</v>
      </c>
      <c r="J339" s="56">
        <f>(SUMPRODUCT(J$8:J$217,Nutrients!$FB$8:$FB$217)+(IF($A$6=Nutrients!$B$8,Nutrients!$FB$8,Nutrients!$FB$9)*J$6)+(((IF($A$7=Nutrients!$B$79,Nutrients!$FB$79,(IF($A$7=Nutrients!$B$77,Nutrients!$FB$77,Nutrients!$FB$78)))))*J$7))</f>
        <v>0</v>
      </c>
      <c r="K339" s="56">
        <f>(SUMPRODUCT(K$8:K$217,Nutrients!$FB$8:$FB$217)+(IF($A$6=Nutrients!$B$8,Nutrients!$FB$8,Nutrients!$FB$9)*K$6)+(((IF($A$7=Nutrients!$B$79,Nutrients!$FB$79,(IF($A$7=Nutrients!$B$77,Nutrients!$FB$77,Nutrients!$FB$78)))))*K$7))</f>
        <v>0</v>
      </c>
      <c r="L339" s="56">
        <f>(SUMPRODUCT(L$8:L$217,Nutrients!$FB$8:$FB$217)+(IF($A$6=Nutrients!$B$8,Nutrients!$FB$8,Nutrients!$FB$9)*L$6)+(((IF($A$7=Nutrients!$B$79,Nutrients!$FB$79,(IF($A$7=Nutrients!$B$77,Nutrients!$FB$77,Nutrients!$FB$78)))))*L$7))</f>
        <v>0</v>
      </c>
      <c r="M339" s="56">
        <f>(SUMPRODUCT(M$8:M$217,Nutrients!$FB$8:$FB$217)+(IF($A$6=Nutrients!$B$8,Nutrients!$FB$8,Nutrients!$FB$9)*M$6)+(((IF($A$7=Nutrients!$B$79,Nutrients!$FB$79,(IF($A$7=Nutrients!$B$77,Nutrients!$FB$77,Nutrients!$FB$78)))))*M$7))</f>
        <v>0</v>
      </c>
      <c r="N339" s="56">
        <f>(SUMPRODUCT(N$8:N$217,Nutrients!$FB$8:$FB$217)+(IF($A$6=Nutrients!$B$8,Nutrients!$FB$8,Nutrients!$FB$9)*N$6)+(((IF($A$7=Nutrients!$B$79,Nutrients!$FB$79,(IF($A$7=Nutrients!$B$77,Nutrients!$FB$77,Nutrients!$FB$78)))))*N$7))</f>
        <v>0</v>
      </c>
      <c r="O339" s="436"/>
      <c r="P339" s="56">
        <f>(SUMPRODUCT(P$8:P$217,Nutrients!$FB$8:$FB$217)+(IF($A$6=Nutrients!$B$8,Nutrients!$FB$8,Nutrients!$FB$9)*P$6)+(((IF($A$7=Nutrients!$B$79,Nutrients!$FB$79,(IF($A$7=Nutrients!$B$77,Nutrients!$FB$77,Nutrients!$FB$78)))))*P$7))</f>
        <v>0</v>
      </c>
      <c r="Q339" s="56">
        <f>(SUMPRODUCT(Q$8:Q$217,Nutrients!$FB$8:$FB$217)+(IF($A$6=Nutrients!$B$8,Nutrients!$FB$8,Nutrients!$FB$9)*Q$6)+(((IF($A$7=Nutrients!$B$79,Nutrients!$FB$79,(IF($A$7=Nutrients!$B$77,Nutrients!$FB$77,Nutrients!$FB$78)))))*Q$7))</f>
        <v>0</v>
      </c>
      <c r="R339" s="56">
        <f>(SUMPRODUCT(R$8:R$217,Nutrients!$FB$8:$FB$217)+(IF($A$6=Nutrients!$B$8,Nutrients!$FB$8,Nutrients!$FB$9)*R$6)+(((IF($A$7=Nutrients!$B$79,Nutrients!$FB$79,(IF($A$7=Nutrients!$B$77,Nutrients!$FB$77,Nutrients!$FB$78)))))*R$7))</f>
        <v>0</v>
      </c>
      <c r="S339" s="56">
        <f>(SUMPRODUCT(S$8:S$217,Nutrients!$FB$8:$FB$217)+(IF($A$6=Nutrients!$B$8,Nutrients!$FB$8,Nutrients!$FB$9)*S$6)+(((IF($A$7=Nutrients!$B$79,Nutrients!$FB$79,(IF($A$7=Nutrients!$B$77,Nutrients!$FB$77,Nutrients!$FB$78)))))*S$7))</f>
        <v>0</v>
      </c>
      <c r="T339" s="56">
        <f>(SUMPRODUCT(T$8:T$217,Nutrients!$FB$8:$FB$217)+(IF($A$6=Nutrients!$B$8,Nutrients!$FB$8,Nutrients!$FB$9)*T$6)+(((IF($A$7=Nutrients!$B$79,Nutrients!$FB$79,(IF($A$7=Nutrients!$B$77,Nutrients!$FB$77,Nutrients!$FB$78)))))*T$7))</f>
        <v>0</v>
      </c>
      <c r="U339" s="56">
        <f>(SUMPRODUCT(U$8:U$217,Nutrients!$FB$8:$FB$217)+(IF($A$6=Nutrients!$B$8,Nutrients!$FB$8,Nutrients!$FB$9)*U$6)+(((IF($A$7=Nutrients!$B$79,Nutrients!$FB$79,(IF($A$7=Nutrients!$B$77,Nutrients!$FB$77,Nutrients!$FB$78)))))*U$7))</f>
        <v>0</v>
      </c>
      <c r="V339" s="436"/>
      <c r="W339" s="56">
        <f>(SUMPRODUCT(W$8:W$217,Nutrients!$FB$8:$FB$217)+(IF($A$6=Nutrients!$B$8,Nutrients!$FB$8,Nutrients!$FB$9)*W$6)+(((IF($A$7=Nutrients!$B$79,Nutrients!$FB$79,(IF($A$7=Nutrients!$B$77,Nutrients!$FB$77,Nutrients!$FB$78)))))*W$7))</f>
        <v>0</v>
      </c>
      <c r="X339" s="56">
        <f>(SUMPRODUCT(X$8:X$217,Nutrients!$FB$8:$FB$217)+(IF($A$6=Nutrients!$B$8,Nutrients!$FB$8,Nutrients!$FB$9)*X$6)+(((IF($A$7=Nutrients!$B$79,Nutrients!$FB$79,(IF($A$7=Nutrients!$B$77,Nutrients!$FB$77,Nutrients!$FB$78)))))*X$7))</f>
        <v>0</v>
      </c>
      <c r="Y339" s="56">
        <f>(SUMPRODUCT(Y$8:Y$217,Nutrients!$FB$8:$FB$217)+(IF($A$6=Nutrients!$B$8,Nutrients!$FB$8,Nutrients!$FB$9)*Y$6)+(((IF($A$7=Nutrients!$B$79,Nutrients!$FB$79,(IF($A$7=Nutrients!$B$77,Nutrients!$FB$77,Nutrients!$FB$78)))))*Y$7))</f>
        <v>0</v>
      </c>
      <c r="Z339" s="56">
        <f>(SUMPRODUCT(Z$8:Z$217,Nutrients!$FB$8:$FB$217)+(IF($A$6=Nutrients!$B$8,Nutrients!$FB$8,Nutrients!$FB$9)*Z$6)+(((IF($A$7=Nutrients!$B$79,Nutrients!$FB$79,(IF($A$7=Nutrients!$B$77,Nutrients!$FB$77,Nutrients!$FB$78)))))*Z$7))</f>
        <v>0</v>
      </c>
      <c r="AA339" s="56">
        <f>(SUMPRODUCT(AA$8:AA$217,Nutrients!$FB$8:$FB$217)+(IF($A$6=Nutrients!$B$8,Nutrients!$FB$8,Nutrients!$FB$9)*AA$6)+(((IF($A$7=Nutrients!$B$79,Nutrients!$FB$79,(IF($A$7=Nutrients!$B$77,Nutrients!$FB$77,Nutrients!$FB$78)))))*AA$7))</f>
        <v>0</v>
      </c>
      <c r="AB339" s="56">
        <f>(SUMPRODUCT(AB$8:AB$217,Nutrients!$FB$8:$FB$217)+(IF($A$6=Nutrients!$B$8,Nutrients!$FB$8,Nutrients!$FB$9)*AB$6)+(((IF($A$7=Nutrients!$B$79,Nutrients!$FB$79,(IF($A$7=Nutrients!$B$77,Nutrients!$FB$77,Nutrients!$FB$78)))))*AB$7))</f>
        <v>0</v>
      </c>
      <c r="AC339" s="56">
        <f>(SUMPRODUCT(AC$8:AC$217,Nutrients!$FB$8:$FB$217)+(IF($A$6=Nutrients!$B$8,Nutrients!$FB$8,Nutrients!$FB$9)*AC$6)+(((IF($A$7=Nutrients!$B$79,Nutrients!$FB$79,(IF($A$7=Nutrients!$B$77,Nutrients!$FB$77,Nutrients!$FB$78)))))*AC$7))</f>
        <v>0</v>
      </c>
      <c r="AD339" s="436"/>
      <c r="AE339" s="56">
        <f>(SUMPRODUCT(AE$8:AE$217,Nutrients!$FB$8:$FB$217)+(IF($A$6=Nutrients!$B$8,Nutrients!$FB$8,Nutrients!$FB$9)*AE$6)+(((IF($A$7=Nutrients!$B$79,Nutrients!$FB$79,(IF($A$7=Nutrients!$B$77,Nutrients!$FB$77,Nutrients!$FB$78)))))*AE$7))</f>
        <v>0</v>
      </c>
      <c r="AF339" s="56">
        <f>(SUMPRODUCT(AF$8:AF$217,Nutrients!$FB$8:$FB$217)+(IF($A$6=Nutrients!$B$8,Nutrients!$FB$8,Nutrients!$FB$9)*AF$6)+(((IF($A$7=Nutrients!$B$79,Nutrients!$FB$79,(IF($A$7=Nutrients!$B$77,Nutrients!$FB$77,Nutrients!$FB$78)))))*AF$7))</f>
        <v>0</v>
      </c>
      <c r="AG339" s="56">
        <f>(SUMPRODUCT(AG$8:AG$217,Nutrients!$FB$8:$FB$217)+(IF($A$6=Nutrients!$B$8,Nutrients!$FB$8,Nutrients!$FB$9)*AG$6)+(((IF($A$7=Nutrients!$B$79,Nutrients!$FB$79,(IF($A$7=Nutrients!$B$77,Nutrients!$FB$77,Nutrients!$FB$78)))))*AG$7))</f>
        <v>0</v>
      </c>
      <c r="AH339" s="56">
        <f>(SUMPRODUCT(AH$8:AH$217,Nutrients!$FB$8:$FB$217)+(IF($A$6=Nutrients!$B$8,Nutrients!$FB$8,Nutrients!$FB$9)*AH$6)+(((IF($A$7=Nutrients!$B$79,Nutrients!$FB$79,(IF($A$7=Nutrients!$B$77,Nutrients!$FB$77,Nutrients!$FB$78)))))*AH$7))</f>
        <v>0</v>
      </c>
      <c r="AI339" s="56">
        <f>(SUMPRODUCT(AI$8:AI$217,Nutrients!$FB$8:$FB$217)+(IF($A$6=Nutrients!$B$8,Nutrients!$FB$8,Nutrients!$FB$9)*AI$6)+(((IF($A$7=Nutrients!$B$79,Nutrients!$FB$79,(IF($A$7=Nutrients!$B$77,Nutrients!$FB$77,Nutrients!$FB$78)))))*AI$7))</f>
        <v>0</v>
      </c>
      <c r="AJ339" s="56">
        <f>(SUMPRODUCT(AJ$8:AJ$217,Nutrients!$FB$8:$FB$217)+(IF($A$6=Nutrients!$B$8,Nutrients!$FB$8,Nutrients!$FB$9)*AJ$6)+(((IF($A$7=Nutrients!$B$79,Nutrients!$FB$79,(IF($A$7=Nutrients!$B$77,Nutrients!$FB$77,Nutrients!$FB$78)))))*AJ$7))</f>
        <v>0</v>
      </c>
      <c r="AK339" s="56"/>
      <c r="AL339" s="56"/>
    </row>
    <row r="340" spans="1:38" x14ac:dyDescent="0.15">
      <c r="A340" s="261" t="s">
        <v>125</v>
      </c>
      <c r="B340" s="56">
        <f>(SUMPRODUCT(B$8:B$217,Nutrients!$FC$8:$FC$217)+(IF($A$6=Nutrients!$B$8,Nutrients!$FC$8,Nutrients!$FC$9)*B$6)+(((IF($A$7=Nutrients!$B$79,Nutrients!$FC$79,(IF($A$7=Nutrients!$B$77,Nutrients!$FC$77,Nutrients!$FC$78)))))*B$7))</f>
        <v>0</v>
      </c>
      <c r="C340" s="56">
        <f>(SUMPRODUCT(C$8:C$217,Nutrients!$FC$8:$FC$217)+(IF($A$6=Nutrients!$B$8,Nutrients!$FC$8,Nutrients!$FC$9)*C$6)+(((IF($A$7=Nutrients!$B$79,Nutrients!$FC$79,(IF($A$7=Nutrients!$B$77,Nutrients!$FC$77,Nutrients!$FC$78)))))*C$7))</f>
        <v>0</v>
      </c>
      <c r="D340" s="56">
        <f>(SUMPRODUCT(D$8:D$217,Nutrients!$FC$8:$FC$217)+(IF($A$6=Nutrients!$B$8,Nutrients!$FC$8,Nutrients!$FC$9)*D$6)+(((IF($A$7=Nutrients!$B$79,Nutrients!$FC$79,(IF($A$7=Nutrients!$B$77,Nutrients!$FC$77,Nutrients!$FC$78)))))*D$7))</f>
        <v>0</v>
      </c>
      <c r="E340" s="56">
        <f>(SUMPRODUCT(E$8:E$217,Nutrients!$FC$8:$FC$217)+(IF($A$6=Nutrients!$B$8,Nutrients!$FC$8,Nutrients!$FC$9)*E$6)+(((IF($A$7=Nutrients!$B$79,Nutrients!$FC$79,(IF($A$7=Nutrients!$B$77,Nutrients!$FC$77,Nutrients!$FC$78)))))*E$7))</f>
        <v>0</v>
      </c>
      <c r="F340" s="56">
        <f>(SUMPRODUCT(F$8:F$217,Nutrients!$FC$8:$FC$217)+(IF($A$6=Nutrients!$B$8,Nutrients!$FC$8,Nutrients!$FC$9)*F$6)+(((IF($A$7=Nutrients!$B$79,Nutrients!$FC$79,(IF($A$7=Nutrients!$B$77,Nutrients!$FC$77,Nutrients!$FC$78)))))*F$7))</f>
        <v>0</v>
      </c>
      <c r="G340" s="56">
        <f>(SUMPRODUCT(G$8:G$217,Nutrients!$FC$8:$FC$217)+(IF($A$6=Nutrients!$B$8,Nutrients!$FC$8,Nutrients!$FC$9)*G$6)+(((IF($A$7=Nutrients!$B$79,Nutrients!$FC$79,(IF($A$7=Nutrients!$B$77,Nutrients!$FC$77,Nutrients!$FC$78)))))*G$7))</f>
        <v>0</v>
      </c>
      <c r="H340" s="436"/>
      <c r="I340" s="56">
        <f>(SUMPRODUCT(I$8:I$217,Nutrients!$FC$8:$FC$217)+(IF($A$6=Nutrients!$B$8,Nutrients!$FC$8,Nutrients!$FC$9)*I$6)+(((IF($A$7=Nutrients!$B$79,Nutrients!$FC$79,(IF($A$7=Nutrients!$B$77,Nutrients!$FC$77,Nutrients!$FC$78)))))*I$7))</f>
        <v>0</v>
      </c>
      <c r="J340" s="56">
        <f>(SUMPRODUCT(J$8:J$217,Nutrients!$FC$8:$FC$217)+(IF($A$6=Nutrients!$B$8,Nutrients!$FC$8,Nutrients!$FC$9)*J$6)+(((IF($A$7=Nutrients!$B$79,Nutrients!$FC$79,(IF($A$7=Nutrients!$B$77,Nutrients!$FC$77,Nutrients!$FC$78)))))*J$7))</f>
        <v>0</v>
      </c>
      <c r="K340" s="56">
        <f>(SUMPRODUCT(K$8:K$217,Nutrients!$FC$8:$FC$217)+(IF($A$6=Nutrients!$B$8,Nutrients!$FC$8,Nutrients!$FC$9)*K$6)+(((IF($A$7=Nutrients!$B$79,Nutrients!$FC$79,(IF($A$7=Nutrients!$B$77,Nutrients!$FC$77,Nutrients!$FC$78)))))*K$7))</f>
        <v>0</v>
      </c>
      <c r="L340" s="56">
        <f>(SUMPRODUCT(L$8:L$217,Nutrients!$FC$8:$FC$217)+(IF($A$6=Nutrients!$B$8,Nutrients!$FC$8,Nutrients!$FC$9)*L$6)+(((IF($A$7=Nutrients!$B$79,Nutrients!$FC$79,(IF($A$7=Nutrients!$B$77,Nutrients!$FC$77,Nutrients!$FC$78)))))*L$7))</f>
        <v>0</v>
      </c>
      <c r="M340" s="56">
        <f>(SUMPRODUCT(M$8:M$217,Nutrients!$FC$8:$FC$217)+(IF($A$6=Nutrients!$B$8,Nutrients!$FC$8,Nutrients!$FC$9)*M$6)+(((IF($A$7=Nutrients!$B$79,Nutrients!$FC$79,(IF($A$7=Nutrients!$B$77,Nutrients!$FC$77,Nutrients!$FC$78)))))*M$7))</f>
        <v>0</v>
      </c>
      <c r="N340" s="56">
        <f>(SUMPRODUCT(N$8:N$217,Nutrients!$FC$8:$FC$217)+(IF($A$6=Nutrients!$B$8,Nutrients!$FC$8,Nutrients!$FC$9)*N$6)+(((IF($A$7=Nutrients!$B$79,Nutrients!$FC$79,(IF($A$7=Nutrients!$B$77,Nutrients!$FC$77,Nutrients!$FC$78)))))*N$7))</f>
        <v>0</v>
      </c>
      <c r="O340" s="436"/>
      <c r="P340" s="56">
        <f>(SUMPRODUCT(P$8:P$217,Nutrients!$FC$8:$FC$217)+(IF($A$6=Nutrients!$B$8,Nutrients!$FC$8,Nutrients!$FC$9)*P$6)+(((IF($A$7=Nutrients!$B$79,Nutrients!$FC$79,(IF($A$7=Nutrients!$B$77,Nutrients!$FC$77,Nutrients!$FC$78)))))*P$7))</f>
        <v>0</v>
      </c>
      <c r="Q340" s="56">
        <f>(SUMPRODUCT(Q$8:Q$217,Nutrients!$FC$8:$FC$217)+(IF($A$6=Nutrients!$B$8,Nutrients!$FC$8,Nutrients!$FC$9)*Q$6)+(((IF($A$7=Nutrients!$B$79,Nutrients!$FC$79,(IF($A$7=Nutrients!$B$77,Nutrients!$FC$77,Nutrients!$FC$78)))))*Q$7))</f>
        <v>0</v>
      </c>
      <c r="R340" s="56">
        <f>(SUMPRODUCT(R$8:R$217,Nutrients!$FC$8:$FC$217)+(IF($A$6=Nutrients!$B$8,Nutrients!$FC$8,Nutrients!$FC$9)*R$6)+(((IF($A$7=Nutrients!$B$79,Nutrients!$FC$79,(IF($A$7=Nutrients!$B$77,Nutrients!$FC$77,Nutrients!$FC$78)))))*R$7))</f>
        <v>0</v>
      </c>
      <c r="S340" s="56">
        <f>(SUMPRODUCT(S$8:S$217,Nutrients!$FC$8:$FC$217)+(IF($A$6=Nutrients!$B$8,Nutrients!$FC$8,Nutrients!$FC$9)*S$6)+(((IF($A$7=Nutrients!$B$79,Nutrients!$FC$79,(IF($A$7=Nutrients!$B$77,Nutrients!$FC$77,Nutrients!$FC$78)))))*S$7))</f>
        <v>0</v>
      </c>
      <c r="T340" s="56">
        <f>(SUMPRODUCT(T$8:T$217,Nutrients!$FC$8:$FC$217)+(IF($A$6=Nutrients!$B$8,Nutrients!$FC$8,Nutrients!$FC$9)*T$6)+(((IF($A$7=Nutrients!$B$79,Nutrients!$FC$79,(IF($A$7=Nutrients!$B$77,Nutrients!$FC$77,Nutrients!$FC$78)))))*T$7))</f>
        <v>0</v>
      </c>
      <c r="U340" s="56">
        <f>(SUMPRODUCT(U$8:U$217,Nutrients!$FC$8:$FC$217)+(IF($A$6=Nutrients!$B$8,Nutrients!$FC$8,Nutrients!$FC$9)*U$6)+(((IF($A$7=Nutrients!$B$79,Nutrients!$FC$79,(IF($A$7=Nutrients!$B$77,Nutrients!$FC$77,Nutrients!$FC$78)))))*U$7))</f>
        <v>0</v>
      </c>
      <c r="V340" s="436"/>
      <c r="W340" s="56">
        <f>(SUMPRODUCT(W$8:W$217,Nutrients!$FC$8:$FC$217)+(IF($A$6=Nutrients!$B$8,Nutrients!$FC$8,Nutrients!$FC$9)*W$6)+(((IF($A$7=Nutrients!$B$79,Nutrients!$FC$79,(IF($A$7=Nutrients!$B$77,Nutrients!$FC$77,Nutrients!$FC$78)))))*W$7))</f>
        <v>0</v>
      </c>
      <c r="X340" s="56">
        <f>(SUMPRODUCT(X$8:X$217,Nutrients!$FC$8:$FC$217)+(IF($A$6=Nutrients!$B$8,Nutrients!$FC$8,Nutrients!$FC$9)*X$6)+(((IF($A$7=Nutrients!$B$79,Nutrients!$FC$79,(IF($A$7=Nutrients!$B$77,Nutrients!$FC$77,Nutrients!$FC$78)))))*X$7))</f>
        <v>0</v>
      </c>
      <c r="Y340" s="56">
        <f>(SUMPRODUCT(Y$8:Y$217,Nutrients!$FC$8:$FC$217)+(IF($A$6=Nutrients!$B$8,Nutrients!$FC$8,Nutrients!$FC$9)*Y$6)+(((IF($A$7=Nutrients!$B$79,Nutrients!$FC$79,(IF($A$7=Nutrients!$B$77,Nutrients!$FC$77,Nutrients!$FC$78)))))*Y$7))</f>
        <v>0</v>
      </c>
      <c r="Z340" s="56">
        <f>(SUMPRODUCT(Z$8:Z$217,Nutrients!$FC$8:$FC$217)+(IF($A$6=Nutrients!$B$8,Nutrients!$FC$8,Nutrients!$FC$9)*Z$6)+(((IF($A$7=Nutrients!$B$79,Nutrients!$FC$79,(IF($A$7=Nutrients!$B$77,Nutrients!$FC$77,Nutrients!$FC$78)))))*Z$7))</f>
        <v>0</v>
      </c>
      <c r="AA340" s="56">
        <f>(SUMPRODUCT(AA$8:AA$217,Nutrients!$FC$8:$FC$217)+(IF($A$6=Nutrients!$B$8,Nutrients!$FC$8,Nutrients!$FC$9)*AA$6)+(((IF($A$7=Nutrients!$B$79,Nutrients!$FC$79,(IF($A$7=Nutrients!$B$77,Nutrients!$FC$77,Nutrients!$FC$78)))))*AA$7))</f>
        <v>0</v>
      </c>
      <c r="AB340" s="56">
        <f>(SUMPRODUCT(AB$8:AB$217,Nutrients!$FC$8:$FC$217)+(IF($A$6=Nutrients!$B$8,Nutrients!$FC$8,Nutrients!$FC$9)*AB$6)+(((IF($A$7=Nutrients!$B$79,Nutrients!$FC$79,(IF($A$7=Nutrients!$B$77,Nutrients!$FC$77,Nutrients!$FC$78)))))*AB$7))</f>
        <v>0</v>
      </c>
      <c r="AC340" s="56">
        <f>(SUMPRODUCT(AC$8:AC$217,Nutrients!$FC$8:$FC$217)+(IF($A$6=Nutrients!$B$8,Nutrients!$FC$8,Nutrients!$FC$9)*AC$6)+(((IF($A$7=Nutrients!$B$79,Nutrients!$FC$79,(IF($A$7=Nutrients!$B$77,Nutrients!$FC$77,Nutrients!$FC$78)))))*AC$7))</f>
        <v>0</v>
      </c>
      <c r="AD340" s="436"/>
      <c r="AE340" s="56">
        <f>(SUMPRODUCT(AE$8:AE$217,Nutrients!$FC$8:$FC$217)+(IF($A$6=Nutrients!$B$8,Nutrients!$FC$8,Nutrients!$FC$9)*AE$6)+(((IF($A$7=Nutrients!$B$79,Nutrients!$FC$79,(IF($A$7=Nutrients!$B$77,Nutrients!$FC$77,Nutrients!$FC$78)))))*AE$7))</f>
        <v>0</v>
      </c>
      <c r="AF340" s="56">
        <f>(SUMPRODUCT(AF$8:AF$217,Nutrients!$FC$8:$FC$217)+(IF($A$6=Nutrients!$B$8,Nutrients!$FC$8,Nutrients!$FC$9)*AF$6)+(((IF($A$7=Nutrients!$B$79,Nutrients!$FC$79,(IF($A$7=Nutrients!$B$77,Nutrients!$FC$77,Nutrients!$FC$78)))))*AF$7))</f>
        <v>0</v>
      </c>
      <c r="AG340" s="56">
        <f>(SUMPRODUCT(AG$8:AG$217,Nutrients!$FC$8:$FC$217)+(IF($A$6=Nutrients!$B$8,Nutrients!$FC$8,Nutrients!$FC$9)*AG$6)+(((IF($A$7=Nutrients!$B$79,Nutrients!$FC$79,(IF($A$7=Nutrients!$B$77,Nutrients!$FC$77,Nutrients!$FC$78)))))*AG$7))</f>
        <v>0</v>
      </c>
      <c r="AH340" s="56">
        <f>(SUMPRODUCT(AH$8:AH$217,Nutrients!$FC$8:$FC$217)+(IF($A$6=Nutrients!$B$8,Nutrients!$FC$8,Nutrients!$FC$9)*AH$6)+(((IF($A$7=Nutrients!$B$79,Nutrients!$FC$79,(IF($A$7=Nutrients!$B$77,Nutrients!$FC$77,Nutrients!$FC$78)))))*AH$7))</f>
        <v>0</v>
      </c>
      <c r="AI340" s="56">
        <f>(SUMPRODUCT(AI$8:AI$217,Nutrients!$FC$8:$FC$217)+(IF($A$6=Nutrients!$B$8,Nutrients!$FC$8,Nutrients!$FC$9)*AI$6)+(((IF($A$7=Nutrients!$B$79,Nutrients!$FC$79,(IF($A$7=Nutrients!$B$77,Nutrients!$FC$77,Nutrients!$FC$78)))))*AI$7))</f>
        <v>0</v>
      </c>
      <c r="AJ340" s="56">
        <f>(SUMPRODUCT(AJ$8:AJ$217,Nutrients!$FC$8:$FC$217)+(IF($A$6=Nutrients!$B$8,Nutrients!$FC$8,Nutrients!$FC$9)*AJ$6)+(((IF($A$7=Nutrients!$B$79,Nutrients!$FC$79,(IF($A$7=Nutrients!$B$77,Nutrients!$FC$77,Nutrients!$FC$78)))))*AJ$7))</f>
        <v>0</v>
      </c>
      <c r="AK340" s="56"/>
      <c r="AL340" s="56"/>
    </row>
    <row r="341" spans="1:38" x14ac:dyDescent="0.15">
      <c r="A341" s="261" t="s">
        <v>126</v>
      </c>
      <c r="B341" s="56">
        <f>(SUMPRODUCT(B$8:B$217,Nutrients!$FD$8:$FD$217)+(IF($A$6=Nutrients!$B$8,Nutrients!$FD$8,Nutrients!$FD$9)*B$6)+(((IF($A$7=Nutrients!$B$79,Nutrients!$FD$79,(IF($A$7=Nutrients!$B$77,Nutrients!$FD$77,Nutrients!$FD$78)))))*B$7))</f>
        <v>0</v>
      </c>
      <c r="C341" s="56">
        <f>(SUMPRODUCT(C$8:C$217,Nutrients!$FD$8:$FD$217)+(IF($A$6=Nutrients!$B$8,Nutrients!$FD$8,Nutrients!$FD$9)*C$6)+(((IF($A$7=Nutrients!$B$79,Nutrients!$FD$79,(IF($A$7=Nutrients!$B$77,Nutrients!$FD$77,Nutrients!$FD$78)))))*C$7))</f>
        <v>0</v>
      </c>
      <c r="D341" s="56">
        <f>(SUMPRODUCT(D$8:D$217,Nutrients!$FD$8:$FD$217)+(IF($A$6=Nutrients!$B$8,Nutrients!$FD$8,Nutrients!$FD$9)*D$6)+(((IF($A$7=Nutrients!$B$79,Nutrients!$FD$79,(IF($A$7=Nutrients!$B$77,Nutrients!$FD$77,Nutrients!$FD$78)))))*D$7))</f>
        <v>0</v>
      </c>
      <c r="E341" s="56">
        <f>(SUMPRODUCT(E$8:E$217,Nutrients!$FD$8:$FD$217)+(IF($A$6=Nutrients!$B$8,Nutrients!$FD$8,Nutrients!$FD$9)*E$6)+(((IF($A$7=Nutrients!$B$79,Nutrients!$FD$79,(IF($A$7=Nutrients!$B$77,Nutrients!$FD$77,Nutrients!$FD$78)))))*E$7))</f>
        <v>0</v>
      </c>
      <c r="F341" s="56">
        <f>(SUMPRODUCT(F$8:F$217,Nutrients!$FD$8:$FD$217)+(IF($A$6=Nutrients!$B$8,Nutrients!$FD$8,Nutrients!$FD$9)*F$6)+(((IF($A$7=Nutrients!$B$79,Nutrients!$FD$79,(IF($A$7=Nutrients!$B$77,Nutrients!$FD$77,Nutrients!$FD$78)))))*F$7))</f>
        <v>0</v>
      </c>
      <c r="G341" s="56">
        <f>(SUMPRODUCT(G$8:G$217,Nutrients!$FD$8:$FD$217)+(IF($A$6=Nutrients!$B$8,Nutrients!$FD$8,Nutrients!$FD$9)*G$6)+(((IF($A$7=Nutrients!$B$79,Nutrients!$FD$79,(IF($A$7=Nutrients!$B$77,Nutrients!$FD$77,Nutrients!$FD$78)))))*G$7))</f>
        <v>0</v>
      </c>
      <c r="H341" s="436"/>
      <c r="I341" s="56">
        <f>(SUMPRODUCT(I$8:I$217,Nutrients!$FD$8:$FD$217)+(IF($A$6=Nutrients!$B$8,Nutrients!$FD$8,Nutrients!$FD$9)*I$6)+(((IF($A$7=Nutrients!$B$79,Nutrients!$FD$79,(IF($A$7=Nutrients!$B$77,Nutrients!$FD$77,Nutrients!$FD$78)))))*I$7))</f>
        <v>0</v>
      </c>
      <c r="J341" s="56">
        <f>(SUMPRODUCT(J$8:J$217,Nutrients!$FD$8:$FD$217)+(IF($A$6=Nutrients!$B$8,Nutrients!$FD$8,Nutrients!$FD$9)*J$6)+(((IF($A$7=Nutrients!$B$79,Nutrients!$FD$79,(IF($A$7=Nutrients!$B$77,Nutrients!$FD$77,Nutrients!$FD$78)))))*J$7))</f>
        <v>0</v>
      </c>
      <c r="K341" s="56">
        <f>(SUMPRODUCT(K$8:K$217,Nutrients!$FD$8:$FD$217)+(IF($A$6=Nutrients!$B$8,Nutrients!$FD$8,Nutrients!$FD$9)*K$6)+(((IF($A$7=Nutrients!$B$79,Nutrients!$FD$79,(IF($A$7=Nutrients!$B$77,Nutrients!$FD$77,Nutrients!$FD$78)))))*K$7))</f>
        <v>0</v>
      </c>
      <c r="L341" s="56">
        <f>(SUMPRODUCT(L$8:L$217,Nutrients!$FD$8:$FD$217)+(IF($A$6=Nutrients!$B$8,Nutrients!$FD$8,Nutrients!$FD$9)*L$6)+(((IF($A$7=Nutrients!$B$79,Nutrients!$FD$79,(IF($A$7=Nutrients!$B$77,Nutrients!$FD$77,Nutrients!$FD$78)))))*L$7))</f>
        <v>0</v>
      </c>
      <c r="M341" s="56">
        <f>(SUMPRODUCT(M$8:M$217,Nutrients!$FD$8:$FD$217)+(IF($A$6=Nutrients!$B$8,Nutrients!$FD$8,Nutrients!$FD$9)*M$6)+(((IF($A$7=Nutrients!$B$79,Nutrients!$FD$79,(IF($A$7=Nutrients!$B$77,Nutrients!$FD$77,Nutrients!$FD$78)))))*M$7))</f>
        <v>0</v>
      </c>
      <c r="N341" s="56">
        <f>(SUMPRODUCT(N$8:N$217,Nutrients!$FD$8:$FD$217)+(IF($A$6=Nutrients!$B$8,Nutrients!$FD$8,Nutrients!$FD$9)*N$6)+(((IF($A$7=Nutrients!$B$79,Nutrients!$FD$79,(IF($A$7=Nutrients!$B$77,Nutrients!$FD$77,Nutrients!$FD$78)))))*N$7))</f>
        <v>0</v>
      </c>
      <c r="O341" s="436"/>
      <c r="P341" s="56">
        <f>(SUMPRODUCT(P$8:P$217,Nutrients!$FD$8:$FD$217)+(IF($A$6=Nutrients!$B$8,Nutrients!$FD$8,Nutrients!$FD$9)*P$6)+(((IF($A$7=Nutrients!$B$79,Nutrients!$FD$79,(IF($A$7=Nutrients!$B$77,Nutrients!$FD$77,Nutrients!$FD$78)))))*P$7))</f>
        <v>0</v>
      </c>
      <c r="Q341" s="56">
        <f>(SUMPRODUCT(Q$8:Q$217,Nutrients!$FD$8:$FD$217)+(IF($A$6=Nutrients!$B$8,Nutrients!$FD$8,Nutrients!$FD$9)*Q$6)+(((IF($A$7=Nutrients!$B$79,Nutrients!$FD$79,(IF($A$7=Nutrients!$B$77,Nutrients!$FD$77,Nutrients!$FD$78)))))*Q$7))</f>
        <v>0</v>
      </c>
      <c r="R341" s="56">
        <f>(SUMPRODUCT(R$8:R$217,Nutrients!$FD$8:$FD$217)+(IF($A$6=Nutrients!$B$8,Nutrients!$FD$8,Nutrients!$FD$9)*R$6)+(((IF($A$7=Nutrients!$B$79,Nutrients!$FD$79,(IF($A$7=Nutrients!$B$77,Nutrients!$FD$77,Nutrients!$FD$78)))))*R$7))</f>
        <v>0</v>
      </c>
      <c r="S341" s="56">
        <f>(SUMPRODUCT(S$8:S$217,Nutrients!$FD$8:$FD$217)+(IF($A$6=Nutrients!$B$8,Nutrients!$FD$8,Nutrients!$FD$9)*S$6)+(((IF($A$7=Nutrients!$B$79,Nutrients!$FD$79,(IF($A$7=Nutrients!$B$77,Nutrients!$FD$77,Nutrients!$FD$78)))))*S$7))</f>
        <v>0</v>
      </c>
      <c r="T341" s="56">
        <f>(SUMPRODUCT(T$8:T$217,Nutrients!$FD$8:$FD$217)+(IF($A$6=Nutrients!$B$8,Nutrients!$FD$8,Nutrients!$FD$9)*T$6)+(((IF($A$7=Nutrients!$B$79,Nutrients!$FD$79,(IF($A$7=Nutrients!$B$77,Nutrients!$FD$77,Nutrients!$FD$78)))))*T$7))</f>
        <v>0</v>
      </c>
      <c r="U341" s="56">
        <f>(SUMPRODUCT(U$8:U$217,Nutrients!$FD$8:$FD$217)+(IF($A$6=Nutrients!$B$8,Nutrients!$FD$8,Nutrients!$FD$9)*U$6)+(((IF($A$7=Nutrients!$B$79,Nutrients!$FD$79,(IF($A$7=Nutrients!$B$77,Nutrients!$FD$77,Nutrients!$FD$78)))))*U$7))</f>
        <v>0</v>
      </c>
      <c r="V341" s="436"/>
      <c r="W341" s="56">
        <f>(SUMPRODUCT(W$8:W$217,Nutrients!$FD$8:$FD$217)+(IF($A$6=Nutrients!$B$8,Nutrients!$FD$8,Nutrients!$FD$9)*W$6)+(((IF($A$7=Nutrients!$B$79,Nutrients!$FD$79,(IF($A$7=Nutrients!$B$77,Nutrients!$FD$77,Nutrients!$FD$78)))))*W$7))</f>
        <v>0</v>
      </c>
      <c r="X341" s="56">
        <f>(SUMPRODUCT(X$8:X$217,Nutrients!$FD$8:$FD$217)+(IF($A$6=Nutrients!$B$8,Nutrients!$FD$8,Nutrients!$FD$9)*X$6)+(((IF($A$7=Nutrients!$B$79,Nutrients!$FD$79,(IF($A$7=Nutrients!$B$77,Nutrients!$FD$77,Nutrients!$FD$78)))))*X$7))</f>
        <v>0</v>
      </c>
      <c r="Y341" s="56">
        <f>(SUMPRODUCT(Y$8:Y$217,Nutrients!$FD$8:$FD$217)+(IF($A$6=Nutrients!$B$8,Nutrients!$FD$8,Nutrients!$FD$9)*Y$6)+(((IF($A$7=Nutrients!$B$79,Nutrients!$FD$79,(IF($A$7=Nutrients!$B$77,Nutrients!$FD$77,Nutrients!$FD$78)))))*Y$7))</f>
        <v>0</v>
      </c>
      <c r="Z341" s="56">
        <f>(SUMPRODUCT(Z$8:Z$217,Nutrients!$FD$8:$FD$217)+(IF($A$6=Nutrients!$B$8,Nutrients!$FD$8,Nutrients!$FD$9)*Z$6)+(((IF($A$7=Nutrients!$B$79,Nutrients!$FD$79,(IF($A$7=Nutrients!$B$77,Nutrients!$FD$77,Nutrients!$FD$78)))))*Z$7))</f>
        <v>0</v>
      </c>
      <c r="AA341" s="56">
        <f>(SUMPRODUCT(AA$8:AA$217,Nutrients!$FD$8:$FD$217)+(IF($A$6=Nutrients!$B$8,Nutrients!$FD$8,Nutrients!$FD$9)*AA$6)+(((IF($A$7=Nutrients!$B$79,Nutrients!$FD$79,(IF($A$7=Nutrients!$B$77,Nutrients!$FD$77,Nutrients!$FD$78)))))*AA$7))</f>
        <v>0</v>
      </c>
      <c r="AB341" s="56">
        <f>(SUMPRODUCT(AB$8:AB$217,Nutrients!$FD$8:$FD$217)+(IF($A$6=Nutrients!$B$8,Nutrients!$FD$8,Nutrients!$FD$9)*AB$6)+(((IF($A$7=Nutrients!$B$79,Nutrients!$FD$79,(IF($A$7=Nutrients!$B$77,Nutrients!$FD$77,Nutrients!$FD$78)))))*AB$7))</f>
        <v>0</v>
      </c>
      <c r="AC341" s="56">
        <f>(SUMPRODUCT(AC$8:AC$217,Nutrients!$FD$8:$FD$217)+(IF($A$6=Nutrients!$B$8,Nutrients!$FD$8,Nutrients!$FD$9)*AC$6)+(((IF($A$7=Nutrients!$B$79,Nutrients!$FD$79,(IF($A$7=Nutrients!$B$77,Nutrients!$FD$77,Nutrients!$FD$78)))))*AC$7))</f>
        <v>0</v>
      </c>
      <c r="AD341" s="436"/>
      <c r="AE341" s="56">
        <f>(SUMPRODUCT(AE$8:AE$217,Nutrients!$FD$8:$FD$217)+(IF($A$6=Nutrients!$B$8,Nutrients!$FD$8,Nutrients!$FD$9)*AE$6)+(((IF($A$7=Nutrients!$B$79,Nutrients!$FD$79,(IF($A$7=Nutrients!$B$77,Nutrients!$FD$77,Nutrients!$FD$78)))))*AE$7))</f>
        <v>0</v>
      </c>
      <c r="AF341" s="56">
        <f>(SUMPRODUCT(AF$8:AF$217,Nutrients!$FD$8:$FD$217)+(IF($A$6=Nutrients!$B$8,Nutrients!$FD$8,Nutrients!$FD$9)*AF$6)+(((IF($A$7=Nutrients!$B$79,Nutrients!$FD$79,(IF($A$7=Nutrients!$B$77,Nutrients!$FD$77,Nutrients!$FD$78)))))*AF$7))</f>
        <v>0</v>
      </c>
      <c r="AG341" s="56">
        <f>(SUMPRODUCT(AG$8:AG$217,Nutrients!$FD$8:$FD$217)+(IF($A$6=Nutrients!$B$8,Nutrients!$FD$8,Nutrients!$FD$9)*AG$6)+(((IF($A$7=Nutrients!$B$79,Nutrients!$FD$79,(IF($A$7=Nutrients!$B$77,Nutrients!$FD$77,Nutrients!$FD$78)))))*AG$7))</f>
        <v>0</v>
      </c>
      <c r="AH341" s="56">
        <f>(SUMPRODUCT(AH$8:AH$217,Nutrients!$FD$8:$FD$217)+(IF($A$6=Nutrients!$B$8,Nutrients!$FD$8,Nutrients!$FD$9)*AH$6)+(((IF($A$7=Nutrients!$B$79,Nutrients!$FD$79,(IF($A$7=Nutrients!$B$77,Nutrients!$FD$77,Nutrients!$FD$78)))))*AH$7))</f>
        <v>0</v>
      </c>
      <c r="AI341" s="56">
        <f>(SUMPRODUCT(AI$8:AI$217,Nutrients!$FD$8:$FD$217)+(IF($A$6=Nutrients!$B$8,Nutrients!$FD$8,Nutrients!$FD$9)*AI$6)+(((IF($A$7=Nutrients!$B$79,Nutrients!$FD$79,(IF($A$7=Nutrients!$B$77,Nutrients!$FD$77,Nutrients!$FD$78)))))*AI$7))</f>
        <v>0</v>
      </c>
      <c r="AJ341" s="56">
        <f>(SUMPRODUCT(AJ$8:AJ$217,Nutrients!$FD$8:$FD$217)+(IF($A$6=Nutrients!$B$8,Nutrients!$FD$8,Nutrients!$FD$9)*AJ$6)+(((IF($A$7=Nutrients!$B$79,Nutrients!$FD$79,(IF($A$7=Nutrients!$B$77,Nutrients!$FD$77,Nutrients!$FD$78)))))*AJ$7))</f>
        <v>0</v>
      </c>
      <c r="AK341" s="56"/>
      <c r="AL341" s="56"/>
    </row>
    <row r="342" spans="1:38" x14ac:dyDescent="0.15">
      <c r="A342" s="261" t="s">
        <v>127</v>
      </c>
      <c r="B342" s="56">
        <f>(SUMPRODUCT(B$8:B$217,Nutrients!$FE$8:$FE$217)+(IF($A$6=Nutrients!$B$8,Nutrients!$FE$8,Nutrients!$FE$9)*B$6)+(((IF($A$7=Nutrients!$B$79,Nutrients!$FE$79,(IF($A$7=Nutrients!$B$77,Nutrients!$FE$77,Nutrients!$FE$78)))))*B$7))</f>
        <v>0</v>
      </c>
      <c r="C342" s="56">
        <f>(SUMPRODUCT(C$8:C$217,Nutrients!$FE$8:$FE$217)+(IF($A$6=Nutrients!$B$8,Nutrients!$FE$8,Nutrients!$FE$9)*C$6)+(((IF($A$7=Nutrients!$B$79,Nutrients!$FE$79,(IF($A$7=Nutrients!$B$77,Nutrients!$FE$77,Nutrients!$FE$78)))))*C$7))</f>
        <v>0</v>
      </c>
      <c r="D342" s="56">
        <f>(SUMPRODUCT(D$8:D$217,Nutrients!$FE$8:$FE$217)+(IF($A$6=Nutrients!$B$8,Nutrients!$FE$8,Nutrients!$FE$9)*D$6)+(((IF($A$7=Nutrients!$B$79,Nutrients!$FE$79,(IF($A$7=Nutrients!$B$77,Nutrients!$FE$77,Nutrients!$FE$78)))))*D$7))</f>
        <v>0</v>
      </c>
      <c r="E342" s="56">
        <f>(SUMPRODUCT(E$8:E$217,Nutrients!$FE$8:$FE$217)+(IF($A$6=Nutrients!$B$8,Nutrients!$FE$8,Nutrients!$FE$9)*E$6)+(((IF($A$7=Nutrients!$B$79,Nutrients!$FE$79,(IF($A$7=Nutrients!$B$77,Nutrients!$FE$77,Nutrients!$FE$78)))))*E$7))</f>
        <v>0</v>
      </c>
      <c r="F342" s="56">
        <f>(SUMPRODUCT(F$8:F$217,Nutrients!$FE$8:$FE$217)+(IF($A$6=Nutrients!$B$8,Nutrients!$FE$8,Nutrients!$FE$9)*F$6)+(((IF($A$7=Nutrients!$B$79,Nutrients!$FE$79,(IF($A$7=Nutrients!$B$77,Nutrients!$FE$77,Nutrients!$FE$78)))))*F$7))</f>
        <v>0</v>
      </c>
      <c r="G342" s="56">
        <f>(SUMPRODUCT(G$8:G$217,Nutrients!$FE$8:$FE$217)+(IF($A$6=Nutrients!$B$8,Nutrients!$FE$8,Nutrients!$FE$9)*G$6)+(((IF($A$7=Nutrients!$B$79,Nutrients!$FE$79,(IF($A$7=Nutrients!$B$77,Nutrients!$FE$77,Nutrients!$FE$78)))))*G$7))</f>
        <v>0</v>
      </c>
      <c r="H342" s="436"/>
      <c r="I342" s="56">
        <f>(SUMPRODUCT(I$8:I$217,Nutrients!$FE$8:$FE$217)+(IF($A$6=Nutrients!$B$8,Nutrients!$FE$8,Nutrients!$FE$9)*I$6)+(((IF($A$7=Nutrients!$B$79,Nutrients!$FE$79,(IF($A$7=Nutrients!$B$77,Nutrients!$FE$77,Nutrients!$FE$78)))))*I$7))</f>
        <v>0</v>
      </c>
      <c r="J342" s="56">
        <f>(SUMPRODUCT(J$8:J$217,Nutrients!$FE$8:$FE$217)+(IF($A$6=Nutrients!$B$8,Nutrients!$FE$8,Nutrients!$FE$9)*J$6)+(((IF($A$7=Nutrients!$B$79,Nutrients!$FE$79,(IF($A$7=Nutrients!$B$77,Nutrients!$FE$77,Nutrients!$FE$78)))))*J$7))</f>
        <v>0</v>
      </c>
      <c r="K342" s="56">
        <f>(SUMPRODUCT(K$8:K$217,Nutrients!$FE$8:$FE$217)+(IF($A$6=Nutrients!$B$8,Nutrients!$FE$8,Nutrients!$FE$9)*K$6)+(((IF($A$7=Nutrients!$B$79,Nutrients!$FE$79,(IF($A$7=Nutrients!$B$77,Nutrients!$FE$77,Nutrients!$FE$78)))))*K$7))</f>
        <v>0</v>
      </c>
      <c r="L342" s="56">
        <f>(SUMPRODUCT(L$8:L$217,Nutrients!$FE$8:$FE$217)+(IF($A$6=Nutrients!$B$8,Nutrients!$FE$8,Nutrients!$FE$9)*L$6)+(((IF($A$7=Nutrients!$B$79,Nutrients!$FE$79,(IF($A$7=Nutrients!$B$77,Nutrients!$FE$77,Nutrients!$FE$78)))))*L$7))</f>
        <v>0</v>
      </c>
      <c r="M342" s="56">
        <f>(SUMPRODUCT(M$8:M$217,Nutrients!$FE$8:$FE$217)+(IF($A$6=Nutrients!$B$8,Nutrients!$FE$8,Nutrients!$FE$9)*M$6)+(((IF($A$7=Nutrients!$B$79,Nutrients!$FE$79,(IF($A$7=Nutrients!$B$77,Nutrients!$FE$77,Nutrients!$FE$78)))))*M$7))</f>
        <v>0</v>
      </c>
      <c r="N342" s="56">
        <f>(SUMPRODUCT(N$8:N$217,Nutrients!$FE$8:$FE$217)+(IF($A$6=Nutrients!$B$8,Nutrients!$FE$8,Nutrients!$FE$9)*N$6)+(((IF($A$7=Nutrients!$B$79,Nutrients!$FE$79,(IF($A$7=Nutrients!$B$77,Nutrients!$FE$77,Nutrients!$FE$78)))))*N$7))</f>
        <v>0</v>
      </c>
      <c r="O342" s="436"/>
      <c r="P342" s="56">
        <f>(SUMPRODUCT(P$8:P$217,Nutrients!$FE$8:$FE$217)+(IF($A$6=Nutrients!$B$8,Nutrients!$FE$8,Nutrients!$FE$9)*P$6)+(((IF($A$7=Nutrients!$B$79,Nutrients!$FE$79,(IF($A$7=Nutrients!$B$77,Nutrients!$FE$77,Nutrients!$FE$78)))))*P$7))</f>
        <v>0</v>
      </c>
      <c r="Q342" s="56">
        <f>(SUMPRODUCT(Q$8:Q$217,Nutrients!$FE$8:$FE$217)+(IF($A$6=Nutrients!$B$8,Nutrients!$FE$8,Nutrients!$FE$9)*Q$6)+(((IF($A$7=Nutrients!$B$79,Nutrients!$FE$79,(IF($A$7=Nutrients!$B$77,Nutrients!$FE$77,Nutrients!$FE$78)))))*Q$7))</f>
        <v>0</v>
      </c>
      <c r="R342" s="56">
        <f>(SUMPRODUCT(R$8:R$217,Nutrients!$FE$8:$FE$217)+(IF($A$6=Nutrients!$B$8,Nutrients!$FE$8,Nutrients!$FE$9)*R$6)+(((IF($A$7=Nutrients!$B$79,Nutrients!$FE$79,(IF($A$7=Nutrients!$B$77,Nutrients!$FE$77,Nutrients!$FE$78)))))*R$7))</f>
        <v>0</v>
      </c>
      <c r="S342" s="56">
        <f>(SUMPRODUCT(S$8:S$217,Nutrients!$FE$8:$FE$217)+(IF($A$6=Nutrients!$B$8,Nutrients!$FE$8,Nutrients!$FE$9)*S$6)+(((IF($A$7=Nutrients!$B$79,Nutrients!$FE$79,(IF($A$7=Nutrients!$B$77,Nutrients!$FE$77,Nutrients!$FE$78)))))*S$7))</f>
        <v>0</v>
      </c>
      <c r="T342" s="56">
        <f>(SUMPRODUCT(T$8:T$217,Nutrients!$FE$8:$FE$217)+(IF($A$6=Nutrients!$B$8,Nutrients!$FE$8,Nutrients!$FE$9)*T$6)+(((IF($A$7=Nutrients!$B$79,Nutrients!$FE$79,(IF($A$7=Nutrients!$B$77,Nutrients!$FE$77,Nutrients!$FE$78)))))*T$7))</f>
        <v>0</v>
      </c>
      <c r="U342" s="56">
        <f>(SUMPRODUCT(U$8:U$217,Nutrients!$FE$8:$FE$217)+(IF($A$6=Nutrients!$B$8,Nutrients!$FE$8,Nutrients!$FE$9)*U$6)+(((IF($A$7=Nutrients!$B$79,Nutrients!$FE$79,(IF($A$7=Nutrients!$B$77,Nutrients!$FE$77,Nutrients!$FE$78)))))*U$7))</f>
        <v>0</v>
      </c>
      <c r="V342" s="436"/>
      <c r="W342" s="56">
        <f>(SUMPRODUCT(W$8:W$217,Nutrients!$FE$8:$FE$217)+(IF($A$6=Nutrients!$B$8,Nutrients!$FE$8,Nutrients!$FE$9)*W$6)+(((IF($A$7=Nutrients!$B$79,Nutrients!$FE$79,(IF($A$7=Nutrients!$B$77,Nutrients!$FE$77,Nutrients!$FE$78)))))*W$7))</f>
        <v>0</v>
      </c>
      <c r="X342" s="56">
        <f>(SUMPRODUCT(X$8:X$217,Nutrients!$FE$8:$FE$217)+(IF($A$6=Nutrients!$B$8,Nutrients!$FE$8,Nutrients!$FE$9)*X$6)+(((IF($A$7=Nutrients!$B$79,Nutrients!$FE$79,(IF($A$7=Nutrients!$B$77,Nutrients!$FE$77,Nutrients!$FE$78)))))*X$7))</f>
        <v>0</v>
      </c>
      <c r="Y342" s="56">
        <f>(SUMPRODUCT(Y$8:Y$217,Nutrients!$FE$8:$FE$217)+(IF($A$6=Nutrients!$B$8,Nutrients!$FE$8,Nutrients!$FE$9)*Y$6)+(((IF($A$7=Nutrients!$B$79,Nutrients!$FE$79,(IF($A$7=Nutrients!$B$77,Nutrients!$FE$77,Nutrients!$FE$78)))))*Y$7))</f>
        <v>0</v>
      </c>
      <c r="Z342" s="56">
        <f>(SUMPRODUCT(Z$8:Z$217,Nutrients!$FE$8:$FE$217)+(IF($A$6=Nutrients!$B$8,Nutrients!$FE$8,Nutrients!$FE$9)*Z$6)+(((IF($A$7=Nutrients!$B$79,Nutrients!$FE$79,(IF($A$7=Nutrients!$B$77,Nutrients!$FE$77,Nutrients!$FE$78)))))*Z$7))</f>
        <v>0</v>
      </c>
      <c r="AA342" s="56">
        <f>(SUMPRODUCT(AA$8:AA$217,Nutrients!$FE$8:$FE$217)+(IF($A$6=Nutrients!$B$8,Nutrients!$FE$8,Nutrients!$FE$9)*AA$6)+(((IF($A$7=Nutrients!$B$79,Nutrients!$FE$79,(IF($A$7=Nutrients!$B$77,Nutrients!$FE$77,Nutrients!$FE$78)))))*AA$7))</f>
        <v>0</v>
      </c>
      <c r="AB342" s="56">
        <f>(SUMPRODUCT(AB$8:AB$217,Nutrients!$FE$8:$FE$217)+(IF($A$6=Nutrients!$B$8,Nutrients!$FE$8,Nutrients!$FE$9)*AB$6)+(((IF($A$7=Nutrients!$B$79,Nutrients!$FE$79,(IF($A$7=Nutrients!$B$77,Nutrients!$FE$77,Nutrients!$FE$78)))))*AB$7))</f>
        <v>0</v>
      </c>
      <c r="AC342" s="56">
        <f>(SUMPRODUCT(AC$8:AC$217,Nutrients!$FE$8:$FE$217)+(IF($A$6=Nutrients!$B$8,Nutrients!$FE$8,Nutrients!$FE$9)*AC$6)+(((IF($A$7=Nutrients!$B$79,Nutrients!$FE$79,(IF($A$7=Nutrients!$B$77,Nutrients!$FE$77,Nutrients!$FE$78)))))*AC$7))</f>
        <v>0</v>
      </c>
      <c r="AD342" s="436"/>
      <c r="AE342" s="56">
        <f>(SUMPRODUCT(AE$8:AE$217,Nutrients!$FE$8:$FE$217)+(IF($A$6=Nutrients!$B$8,Nutrients!$FE$8,Nutrients!$FE$9)*AE$6)+(((IF($A$7=Nutrients!$B$79,Nutrients!$FE$79,(IF($A$7=Nutrients!$B$77,Nutrients!$FE$77,Nutrients!$FE$78)))))*AE$7))</f>
        <v>0</v>
      </c>
      <c r="AF342" s="56">
        <f>(SUMPRODUCT(AF$8:AF$217,Nutrients!$FE$8:$FE$217)+(IF($A$6=Nutrients!$B$8,Nutrients!$FE$8,Nutrients!$FE$9)*AF$6)+(((IF($A$7=Nutrients!$B$79,Nutrients!$FE$79,(IF($A$7=Nutrients!$B$77,Nutrients!$FE$77,Nutrients!$FE$78)))))*AF$7))</f>
        <v>0</v>
      </c>
      <c r="AG342" s="56">
        <f>(SUMPRODUCT(AG$8:AG$217,Nutrients!$FE$8:$FE$217)+(IF($A$6=Nutrients!$B$8,Nutrients!$FE$8,Nutrients!$FE$9)*AG$6)+(((IF($A$7=Nutrients!$B$79,Nutrients!$FE$79,(IF($A$7=Nutrients!$B$77,Nutrients!$FE$77,Nutrients!$FE$78)))))*AG$7))</f>
        <v>0</v>
      </c>
      <c r="AH342" s="56">
        <f>(SUMPRODUCT(AH$8:AH$217,Nutrients!$FE$8:$FE$217)+(IF($A$6=Nutrients!$B$8,Nutrients!$FE$8,Nutrients!$FE$9)*AH$6)+(((IF($A$7=Nutrients!$B$79,Nutrients!$FE$79,(IF($A$7=Nutrients!$B$77,Nutrients!$FE$77,Nutrients!$FE$78)))))*AH$7))</f>
        <v>0</v>
      </c>
      <c r="AI342" s="56">
        <f>(SUMPRODUCT(AI$8:AI$217,Nutrients!$FE$8:$FE$217)+(IF($A$6=Nutrients!$B$8,Nutrients!$FE$8,Nutrients!$FE$9)*AI$6)+(((IF($A$7=Nutrients!$B$79,Nutrients!$FE$79,(IF($A$7=Nutrients!$B$77,Nutrients!$FE$77,Nutrients!$FE$78)))))*AI$7))</f>
        <v>0</v>
      </c>
      <c r="AJ342" s="56">
        <f>(SUMPRODUCT(AJ$8:AJ$217,Nutrients!$FE$8:$FE$217)+(IF($A$6=Nutrients!$B$8,Nutrients!$FE$8,Nutrients!$FE$9)*AJ$6)+(((IF($A$7=Nutrients!$B$79,Nutrients!$FE$79,(IF($A$7=Nutrients!$B$77,Nutrients!$FE$77,Nutrients!$FE$78)))))*AJ$7))</f>
        <v>0</v>
      </c>
      <c r="AK342" s="56"/>
      <c r="AL342" s="56"/>
    </row>
    <row r="345" spans="1:38" x14ac:dyDescent="0.15">
      <c r="A345" t="s">
        <v>365</v>
      </c>
      <c r="B345" s="4">
        <f t="shared" ref="B345:G345" si="268">0.00004*(AVERAGE(B4:B5)^2) - 0.0215*AVERAGE(B4:B5) + 4.9502</f>
        <v>3.7216999999999998</v>
      </c>
      <c r="C345" s="4">
        <f t="shared" si="268"/>
        <v>3.7216999999999998</v>
      </c>
      <c r="D345" s="4">
        <f t="shared" si="268"/>
        <v>3.7216999999999998</v>
      </c>
      <c r="E345" s="4">
        <f t="shared" si="268"/>
        <v>3.7216999999999998</v>
      </c>
      <c r="F345" s="4">
        <f t="shared" si="268"/>
        <v>3.7216999999999998</v>
      </c>
      <c r="G345" s="4">
        <f t="shared" si="268"/>
        <v>3.7216999999999998</v>
      </c>
      <c r="H345" s="448"/>
      <c r="I345" s="4">
        <f t="shared" ref="I345:N345" si="269">0.00004*(AVERAGE(I4:I5)^2) - 0.0215*AVERAGE(I4:I5) + 4.9502</f>
        <v>3.2001999999999997</v>
      </c>
      <c r="J345" s="4">
        <f t="shared" si="269"/>
        <v>3.2001999999999997</v>
      </c>
      <c r="K345" s="4">
        <f t="shared" si="269"/>
        <v>3.2001999999999997</v>
      </c>
      <c r="L345" s="4">
        <f t="shared" si="269"/>
        <v>3.2001999999999997</v>
      </c>
      <c r="M345" s="4">
        <f t="shared" si="269"/>
        <v>3.2001999999999997</v>
      </c>
      <c r="N345" s="4">
        <f t="shared" si="269"/>
        <v>3.2001999999999997</v>
      </c>
      <c r="O345" s="448"/>
      <c r="P345" s="4">
        <f t="shared" ref="P345:U345" si="270">0.00004*(AVERAGE(P4:P5)^2) - 0.0215*AVERAGE(P4:P5) + 4.9502</f>
        <v>2.6737000000000002</v>
      </c>
      <c r="Q345" s="4">
        <f t="shared" si="270"/>
        <v>2.6737000000000002</v>
      </c>
      <c r="R345" s="4">
        <f t="shared" si="270"/>
        <v>2.6737000000000002</v>
      </c>
      <c r="S345" s="4">
        <f t="shared" si="270"/>
        <v>2.6737000000000002</v>
      </c>
      <c r="T345" s="4">
        <f t="shared" si="270"/>
        <v>2.6737000000000002</v>
      </c>
      <c r="U345" s="4">
        <f t="shared" si="270"/>
        <v>2.6737000000000002</v>
      </c>
      <c r="V345" s="448"/>
      <c r="W345" s="4">
        <f t="shared" ref="W345:AC345" si="271">0.00004*(AVERAGE(W4:W5)^2) - 0.0215*AVERAGE(W4:W5) + 4.9502</f>
        <v>2.2786999999999997</v>
      </c>
      <c r="X345" s="4">
        <f t="shared" si="271"/>
        <v>2.2786999999999997</v>
      </c>
      <c r="Y345" s="4">
        <f t="shared" si="271"/>
        <v>2.2786999999999997</v>
      </c>
      <c r="Z345" s="4">
        <f t="shared" si="271"/>
        <v>2.2786999999999997</v>
      </c>
      <c r="AA345" s="4">
        <f t="shared" si="271"/>
        <v>2.2786999999999997</v>
      </c>
      <c r="AB345" s="4">
        <f t="shared" si="271"/>
        <v>2.2786999999999997</v>
      </c>
      <c r="AC345" s="4">
        <f t="shared" si="271"/>
        <v>2.2786999999999997</v>
      </c>
      <c r="AD345" s="448"/>
      <c r="AE345" s="4">
        <f t="shared" ref="AE345:AJ345" si="272">0.00004*(AVERAGE(AE4:AE5)^2) - 0.0215*AVERAGE(AE4:AE5) + 4.9502</f>
        <v>2.0687000000000002</v>
      </c>
      <c r="AF345" s="4">
        <f t="shared" si="272"/>
        <v>2.0687000000000002</v>
      </c>
      <c r="AG345" s="4">
        <f t="shared" si="272"/>
        <v>2.0687000000000002</v>
      </c>
      <c r="AH345" s="4">
        <f t="shared" si="272"/>
        <v>2.0687000000000002</v>
      </c>
      <c r="AI345" s="4">
        <f t="shared" si="272"/>
        <v>2.0687000000000002</v>
      </c>
      <c r="AJ345" s="4">
        <f t="shared" si="272"/>
        <v>2.0687000000000002</v>
      </c>
      <c r="AK345" s="4"/>
      <c r="AL345" s="4"/>
    </row>
    <row r="346" spans="1:38" x14ac:dyDescent="0.15">
      <c r="A346" t="s">
        <v>423</v>
      </c>
      <c r="B346" s="4">
        <f t="shared" ref="B346:G346" si="273">0.0000437*AVERAGE(B4:B5)^2 - 0.0244*AVERAGE(B4:B5)+ 6.022</f>
        <v>4.6206325000000001</v>
      </c>
      <c r="C346" s="4">
        <f t="shared" si="273"/>
        <v>4.6206325000000001</v>
      </c>
      <c r="D346" s="4">
        <f t="shared" si="273"/>
        <v>4.6206325000000001</v>
      </c>
      <c r="E346" s="4">
        <f t="shared" si="273"/>
        <v>4.6206325000000001</v>
      </c>
      <c r="F346" s="4">
        <f t="shared" si="273"/>
        <v>4.6206325000000001</v>
      </c>
      <c r="G346" s="4">
        <f t="shared" si="273"/>
        <v>4.6206325000000001</v>
      </c>
      <c r="H346" s="448"/>
      <c r="I346" s="4">
        <f t="shared" ref="I346:N346" si="274">0.0000437*AVERAGE(I4:I5)^2 - 0.0244*AVERAGE(I4:I5)+ 6.022</f>
        <v>4.0190000000000001</v>
      </c>
      <c r="J346" s="4">
        <f t="shared" si="274"/>
        <v>4.0190000000000001</v>
      </c>
      <c r="K346" s="4">
        <f t="shared" si="274"/>
        <v>4.0190000000000001</v>
      </c>
      <c r="L346" s="4">
        <f t="shared" si="274"/>
        <v>4.0190000000000001</v>
      </c>
      <c r="M346" s="4">
        <f t="shared" si="274"/>
        <v>4.0190000000000001</v>
      </c>
      <c r="N346" s="4">
        <f t="shared" si="274"/>
        <v>4.0190000000000001</v>
      </c>
      <c r="O346" s="448"/>
      <c r="P346" s="4">
        <f t="shared" ref="P346:U346" si="275">0.0000437*AVERAGE(P4:P5)^2 - 0.0244*AVERAGE(P4:P5)+ 6.022</f>
        <v>3.4027924999999999</v>
      </c>
      <c r="Q346" s="4">
        <f t="shared" si="275"/>
        <v>3.4027924999999999</v>
      </c>
      <c r="R346" s="4">
        <f t="shared" si="275"/>
        <v>3.4027924999999999</v>
      </c>
      <c r="S346" s="4">
        <f t="shared" si="275"/>
        <v>3.4027924999999999</v>
      </c>
      <c r="T346" s="4">
        <f t="shared" si="275"/>
        <v>3.4027924999999999</v>
      </c>
      <c r="U346" s="4">
        <f t="shared" si="275"/>
        <v>3.4027924999999999</v>
      </c>
      <c r="V346" s="448"/>
      <c r="W346" s="4">
        <f t="shared" ref="W346:AC346" si="276">0.0000437*AVERAGE(W4:W5)^2 - 0.0244*AVERAGE(W4:W5)+ 6.022</f>
        <v>2.9256925000000003</v>
      </c>
      <c r="X346" s="4">
        <f t="shared" si="276"/>
        <v>2.9256925000000003</v>
      </c>
      <c r="Y346" s="4">
        <f t="shared" si="276"/>
        <v>2.9256925000000003</v>
      </c>
      <c r="Z346" s="4">
        <f t="shared" si="276"/>
        <v>2.9256925000000003</v>
      </c>
      <c r="AA346" s="4">
        <f t="shared" si="276"/>
        <v>2.9256925000000003</v>
      </c>
      <c r="AB346" s="4">
        <f t="shared" si="276"/>
        <v>2.9256925000000003</v>
      </c>
      <c r="AC346" s="4">
        <f t="shared" si="276"/>
        <v>2.9256925000000003</v>
      </c>
      <c r="AD346" s="448"/>
      <c r="AE346" s="4">
        <f t="shared" ref="AE346:AJ346" si="277">0.0000437*AVERAGE(AE4:AE5)^2 - 0.0244*AVERAGE(AE4:AE5)+ 6.022</f>
        <v>2.6415924999999998</v>
      </c>
      <c r="AF346" s="4">
        <f t="shared" si="277"/>
        <v>2.6415924999999998</v>
      </c>
      <c r="AG346" s="4">
        <f t="shared" si="277"/>
        <v>2.6415924999999998</v>
      </c>
      <c r="AH346" s="4">
        <f t="shared" si="277"/>
        <v>2.6415924999999998</v>
      </c>
      <c r="AI346" s="4">
        <f t="shared" si="277"/>
        <v>2.6415924999999998</v>
      </c>
      <c r="AJ346" s="4">
        <f t="shared" si="277"/>
        <v>2.6415924999999998</v>
      </c>
    </row>
    <row r="347" spans="1:38" x14ac:dyDescent="0.15">
      <c r="A347" t="s">
        <v>364</v>
      </c>
      <c r="B347" s="4">
        <f t="shared" ref="B347:G347" si="278">B220</f>
        <v>4.7373374999999998</v>
      </c>
      <c r="C347" s="4">
        <f t="shared" si="278"/>
        <v>4.7373374999999998</v>
      </c>
      <c r="D347" s="4">
        <f t="shared" si="278"/>
        <v>4.7373374999999998</v>
      </c>
      <c r="E347" s="4">
        <f t="shared" si="278"/>
        <v>4.7373374999999998</v>
      </c>
      <c r="F347" s="4">
        <f t="shared" si="278"/>
        <v>4.7373374999999998</v>
      </c>
      <c r="G347" s="4">
        <f t="shared" si="278"/>
        <v>4.7373374999999998</v>
      </c>
      <c r="H347" s="448"/>
      <c r="I347" s="4">
        <f t="shared" ref="I347:N347" si="279">I220</f>
        <v>4.1509999999999998</v>
      </c>
      <c r="J347" s="4">
        <f t="shared" si="279"/>
        <v>4.1509999999999998</v>
      </c>
      <c r="K347" s="4">
        <f t="shared" si="279"/>
        <v>4.1509999999999998</v>
      </c>
      <c r="L347" s="4">
        <f t="shared" si="279"/>
        <v>4.1509999999999998</v>
      </c>
      <c r="M347" s="4">
        <f t="shared" si="279"/>
        <v>4.1509999999999998</v>
      </c>
      <c r="N347" s="4">
        <f t="shared" si="279"/>
        <v>4.1509999999999998</v>
      </c>
      <c r="O347" s="448"/>
      <c r="P347" s="4">
        <f t="shared" ref="P347:U347" si="280">P220</f>
        <v>3.5465375000000003</v>
      </c>
      <c r="Q347" s="4">
        <f t="shared" si="280"/>
        <v>3.5465375000000003</v>
      </c>
      <c r="R347" s="4">
        <f t="shared" si="280"/>
        <v>3.5465375000000003</v>
      </c>
      <c r="S347" s="4">
        <f t="shared" si="280"/>
        <v>3.5465375000000003</v>
      </c>
      <c r="T347" s="4">
        <f t="shared" si="280"/>
        <v>3.5465375000000003</v>
      </c>
      <c r="U347" s="4">
        <f t="shared" si="280"/>
        <v>3.5465375000000003</v>
      </c>
      <c r="V347" s="448"/>
      <c r="W347" s="4">
        <f t="shared" ref="W347:AC347" si="281">W220</f>
        <v>3.0720374999999995</v>
      </c>
      <c r="X347" s="4">
        <f t="shared" si="281"/>
        <v>3.0720374999999995</v>
      </c>
      <c r="Y347" s="4">
        <f t="shared" si="281"/>
        <v>3.0720374999999995</v>
      </c>
      <c r="Z347" s="4">
        <f t="shared" si="281"/>
        <v>3.0720374999999995</v>
      </c>
      <c r="AA347" s="4">
        <f t="shared" si="281"/>
        <v>3.0720374999999995</v>
      </c>
      <c r="AB347" s="4">
        <f t="shared" si="281"/>
        <v>3.0720374999999995</v>
      </c>
      <c r="AC347" s="4">
        <f t="shared" si="281"/>
        <v>3.0720374999999995</v>
      </c>
      <c r="AD347" s="448"/>
      <c r="AE347" s="4">
        <f t="shared" ref="AE347:AJ347" si="282">AE220</f>
        <v>2.7765375000000003</v>
      </c>
      <c r="AF347" s="4">
        <f t="shared" si="282"/>
        <v>2.7765375000000003</v>
      </c>
      <c r="AG347" s="4">
        <f t="shared" si="282"/>
        <v>2.7765375000000003</v>
      </c>
      <c r="AH347" s="4">
        <f t="shared" si="282"/>
        <v>2.7765375000000003</v>
      </c>
      <c r="AI347" s="4">
        <f t="shared" si="282"/>
        <v>2.7765375000000003</v>
      </c>
      <c r="AJ347" s="4">
        <f t="shared" si="282"/>
        <v>2.7765375000000003</v>
      </c>
    </row>
    <row r="348" spans="1:38" x14ac:dyDescent="0.15">
      <c r="A348" t="s">
        <v>425</v>
      </c>
      <c r="B348" s="4">
        <f t="shared" ref="B348:G348" si="283">B346*B253*2.2046/10000</f>
        <v>1.1759474199164481</v>
      </c>
      <c r="C348" s="4">
        <f t="shared" si="283"/>
        <v>1.1757749700583215</v>
      </c>
      <c r="D348" s="4">
        <f t="shared" si="283"/>
        <v>1.1752317077414549</v>
      </c>
      <c r="E348" s="4">
        <f t="shared" si="283"/>
        <v>1.1750117912145059</v>
      </c>
      <c r="F348" s="4">
        <f t="shared" si="283"/>
        <v>1.1744788705990743</v>
      </c>
      <c r="G348" s="4">
        <f t="shared" si="283"/>
        <v>1.1732340753086454</v>
      </c>
      <c r="H348" s="448"/>
      <c r="I348" s="4">
        <f t="shared" ref="I348:N348" si="284">I346*I253*2.2046/10000</f>
        <v>1.0366075424650047</v>
      </c>
      <c r="J348" s="4">
        <f t="shared" si="284"/>
        <v>1.0278187287201339</v>
      </c>
      <c r="K348" s="4">
        <f t="shared" si="284"/>
        <v>1.0198115258455649</v>
      </c>
      <c r="L348" s="4">
        <f t="shared" si="284"/>
        <v>1.0112680305529689</v>
      </c>
      <c r="M348" s="4">
        <f t="shared" si="284"/>
        <v>1.0032608276784001</v>
      </c>
      <c r="N348" s="4">
        <f t="shared" si="284"/>
        <v>0.99436285048691275</v>
      </c>
      <c r="O348" s="448"/>
      <c r="P348" s="4">
        <f t="shared" ref="P348:U348" si="285">P346*P253*2.2046/10000</f>
        <v>0.88618371776020977</v>
      </c>
      <c r="Q348" s="4">
        <f t="shared" si="285"/>
        <v>0.88073464271647117</v>
      </c>
      <c r="R348" s="4">
        <f t="shared" si="285"/>
        <v>0.8757089948020752</v>
      </c>
      <c r="S348" s="4">
        <f t="shared" si="285"/>
        <v>0.87025991975833616</v>
      </c>
      <c r="T348" s="4">
        <f t="shared" si="285"/>
        <v>0.86478345537047629</v>
      </c>
      <c r="U348" s="4">
        <f t="shared" si="285"/>
        <v>0.85964766286352445</v>
      </c>
      <c r="V348" s="448"/>
      <c r="W348" s="4">
        <f t="shared" ref="W348:AC348" si="286">W346*W253*2.2046/10000</f>
        <v>0.76661176831086797</v>
      </c>
      <c r="X348" s="4">
        <f t="shared" si="286"/>
        <v>0.76193334053521133</v>
      </c>
      <c r="Y348" s="4">
        <f t="shared" si="286"/>
        <v>0.75724827143757956</v>
      </c>
      <c r="Z348" s="4">
        <f t="shared" si="286"/>
        <v>0.75292726144041122</v>
      </c>
      <c r="AA348" s="4">
        <f t="shared" si="286"/>
        <v>0.74824219234277911</v>
      </c>
      <c r="AB348" s="4">
        <f t="shared" si="286"/>
        <v>0.7435335741164022</v>
      </c>
      <c r="AC348" s="4">
        <f t="shared" si="286"/>
        <v>0.73911786272079238</v>
      </c>
      <c r="AD348" s="448"/>
      <c r="AE348" s="4">
        <f t="shared" ref="AE348:AJ348" si="287">AE346*AE253*2.2046/10000</f>
        <v>0.68035143485493266</v>
      </c>
      <c r="AF348" s="4">
        <f t="shared" si="287"/>
        <v>0.6803530840561105</v>
      </c>
      <c r="AG348" s="4">
        <f t="shared" si="287"/>
        <v>0.68035473325728824</v>
      </c>
      <c r="AH348" s="4">
        <f t="shared" si="287"/>
        <v>0.68035638245846619</v>
      </c>
      <c r="AI348" s="4">
        <f t="shared" si="287"/>
        <v>0.68035803165964415</v>
      </c>
      <c r="AJ348" s="4">
        <f t="shared" si="287"/>
        <v>0.67972877875724558</v>
      </c>
    </row>
    <row r="349" spans="1:38" x14ac:dyDescent="0.15">
      <c r="A349" t="s">
        <v>424</v>
      </c>
      <c r="B349" s="162">
        <f t="shared" ref="B349:G349" si="288">B221</f>
        <v>1.2056487527191218</v>
      </c>
      <c r="C349" s="162">
        <f t="shared" si="288"/>
        <v>1.2054719472320432</v>
      </c>
      <c r="D349" s="162">
        <f t="shared" si="288"/>
        <v>1.2049149635407348</v>
      </c>
      <c r="E349" s="162">
        <f t="shared" si="288"/>
        <v>1.2046894925018705</v>
      </c>
      <c r="F349" s="162">
        <f t="shared" si="288"/>
        <v>1.2041431117161214</v>
      </c>
      <c r="G349" s="162">
        <f t="shared" si="288"/>
        <v>1.2028668761771184</v>
      </c>
      <c r="H349" s="449"/>
      <c r="I349" s="162">
        <f t="shared" ref="I349:N349" si="289">I221</f>
        <v>1.070653871304363</v>
      </c>
      <c r="J349" s="162">
        <f t="shared" si="289"/>
        <v>1.0615763978395809</v>
      </c>
      <c r="K349" s="162">
        <f t="shared" si="289"/>
        <v>1.0533062064655239</v>
      </c>
      <c r="L349" s="162">
        <f t="shared" si="289"/>
        <v>1.0444821086900655</v>
      </c>
      <c r="M349" s="162">
        <f t="shared" si="289"/>
        <v>1.0362119173160085</v>
      </c>
      <c r="N349" s="162">
        <f t="shared" si="289"/>
        <v>1.0270216950413473</v>
      </c>
      <c r="O349" s="449"/>
      <c r="P349" s="162">
        <f t="shared" ref="P349:AE349" si="290">P221</f>
        <v>0.92361899437770623</v>
      </c>
      <c r="Q349" s="162">
        <f>Q221</f>
        <v>0.91793973271748641</v>
      </c>
      <c r="R349" s="162">
        <f>R221</f>
        <v>0.91270178512291456</v>
      </c>
      <c r="S349" s="162">
        <f>S221</f>
        <v>0.90702252346269452</v>
      </c>
      <c r="T349" s="162">
        <f>T221</f>
        <v>0.90131471544355735</v>
      </c>
      <c r="U349" s="162">
        <f>U221</f>
        <v>0.89596197039133219</v>
      </c>
      <c r="V349" s="449"/>
      <c r="W349" s="162">
        <f t="shared" si="290"/>
        <v>0.80495817663418068</v>
      </c>
      <c r="X349" s="162">
        <f t="shared" ref="X349:AC349" si="291">X221</f>
        <v>0.8000457309250506</v>
      </c>
      <c r="Y349" s="162">
        <f t="shared" si="291"/>
        <v>0.79512631169079551</v>
      </c>
      <c r="Z349" s="162">
        <f t="shared" si="291"/>
        <v>0.79058916202480178</v>
      </c>
      <c r="AA349" s="162">
        <f t="shared" si="291"/>
        <v>0.78566974279054613</v>
      </c>
      <c r="AB349" s="162">
        <f t="shared" si="291"/>
        <v>0.7807255964851455</v>
      </c>
      <c r="AC349" s="162">
        <f t="shared" si="291"/>
        <v>0.77608900839651673</v>
      </c>
      <c r="AD349" s="449"/>
      <c r="AE349" s="162">
        <f t="shared" si="290"/>
        <v>0.71510699400211342</v>
      </c>
      <c r="AF349" s="162">
        <f t="shared" ref="AF349" si="292">AF221</f>
        <v>0.71510872745226339</v>
      </c>
      <c r="AG349" s="162">
        <f t="shared" ref="AG349" si="293">AG221</f>
        <v>0.71511046090241348</v>
      </c>
      <c r="AH349" s="162">
        <f t="shared" ref="AH349" si="294">AH221</f>
        <v>0.71511219435256346</v>
      </c>
      <c r="AI349" s="162">
        <f t="shared" ref="AI349" si="295">AI221</f>
        <v>0.71511392780271354</v>
      </c>
      <c r="AJ349" s="162">
        <f t="shared" ref="AJ349" si="296">AJ221</f>
        <v>0.71445252969513506</v>
      </c>
    </row>
    <row r="350" spans="1:38" x14ac:dyDescent="0.15">
      <c r="A350" t="s">
        <v>426</v>
      </c>
      <c r="B350" s="4">
        <f t="shared" ref="B350:G350" si="297">AVERAGE(B348:B349)</f>
        <v>1.1907980863177849</v>
      </c>
      <c r="C350" s="4">
        <f t="shared" si="297"/>
        <v>1.1906234586451823</v>
      </c>
      <c r="D350" s="4">
        <f t="shared" si="297"/>
        <v>1.1900733356410949</v>
      </c>
      <c r="E350" s="4">
        <f t="shared" si="297"/>
        <v>1.1898506418581882</v>
      </c>
      <c r="F350" s="4">
        <f t="shared" si="297"/>
        <v>1.1893109911575979</v>
      </c>
      <c r="G350" s="4">
        <f t="shared" si="297"/>
        <v>1.188050475742882</v>
      </c>
      <c r="H350" s="448"/>
      <c r="I350" s="4">
        <f t="shared" ref="I350:N350" si="298">AVERAGE(I348:I349)</f>
        <v>1.0536307068846837</v>
      </c>
      <c r="J350" s="4">
        <f t="shared" si="298"/>
        <v>1.0446975632798574</v>
      </c>
      <c r="K350" s="4">
        <f t="shared" si="298"/>
        <v>1.0365588661555445</v>
      </c>
      <c r="L350" s="4">
        <f t="shared" si="298"/>
        <v>1.0278750696215173</v>
      </c>
      <c r="M350" s="4">
        <f t="shared" si="298"/>
        <v>1.0197363724972042</v>
      </c>
      <c r="N350" s="4">
        <f t="shared" si="298"/>
        <v>1.0106922727641301</v>
      </c>
      <c r="O350" s="448"/>
      <c r="P350" s="4">
        <f t="shared" ref="P350:AE350" si="299">AVERAGE(P348:P349)</f>
        <v>0.90490135606895805</v>
      </c>
      <c r="Q350" s="4">
        <f>AVERAGE(Q348:Q349)</f>
        <v>0.89933718771697879</v>
      </c>
      <c r="R350" s="4">
        <f>AVERAGE(R348:R349)</f>
        <v>0.89420538996249488</v>
      </c>
      <c r="S350" s="4">
        <f>AVERAGE(S348:S349)</f>
        <v>0.88864122161051529</v>
      </c>
      <c r="T350" s="4">
        <f>AVERAGE(T348:T349)</f>
        <v>0.88304908540701677</v>
      </c>
      <c r="U350" s="4">
        <f>AVERAGE(U348:U349)</f>
        <v>0.87780481662742837</v>
      </c>
      <c r="V350" s="448"/>
      <c r="W350" s="4">
        <f t="shared" si="299"/>
        <v>0.78578497247252432</v>
      </c>
      <c r="X350" s="4">
        <f t="shared" ref="X350:AC350" si="300">AVERAGE(X348:X349)</f>
        <v>0.78098953573013097</v>
      </c>
      <c r="Y350" s="4">
        <f t="shared" si="300"/>
        <v>0.77618729156418753</v>
      </c>
      <c r="Z350" s="4">
        <f t="shared" si="300"/>
        <v>0.7717582117326065</v>
      </c>
      <c r="AA350" s="4">
        <f t="shared" si="300"/>
        <v>0.76695596756666262</v>
      </c>
      <c r="AB350" s="4">
        <f t="shared" si="300"/>
        <v>0.7621295853007739</v>
      </c>
      <c r="AC350" s="4">
        <f t="shared" si="300"/>
        <v>0.7576034355586545</v>
      </c>
      <c r="AD350" s="448"/>
      <c r="AE350" s="4">
        <f t="shared" si="299"/>
        <v>0.69772921442852298</v>
      </c>
      <c r="AF350" s="4">
        <f t="shared" ref="AF350" si="301">AVERAGE(AF348:AF349)</f>
        <v>0.69773090575418695</v>
      </c>
      <c r="AG350" s="4">
        <f t="shared" ref="AG350" si="302">AVERAGE(AG348:AG349)</f>
        <v>0.69773259707985091</v>
      </c>
      <c r="AH350" s="4">
        <f t="shared" ref="AH350" si="303">AVERAGE(AH348:AH349)</f>
        <v>0.69773428840551488</v>
      </c>
      <c r="AI350" s="4">
        <f t="shared" ref="AI350" si="304">AVERAGE(AI348:AI349)</f>
        <v>0.69773597973117885</v>
      </c>
      <c r="AJ350" s="4">
        <f t="shared" ref="AJ350" si="305">AVERAGE(AJ348:AJ349)</f>
        <v>0.69709065422619032</v>
      </c>
    </row>
    <row r="352" spans="1:38" x14ac:dyDescent="0.15">
      <c r="B352" s="85"/>
      <c r="C352" s="85"/>
      <c r="D352" s="85"/>
      <c r="E352" s="85"/>
      <c r="F352" s="85"/>
      <c r="G352" s="85"/>
      <c r="H352" s="431"/>
      <c r="I352" s="85"/>
      <c r="J352" s="85"/>
      <c r="K352" s="85"/>
      <c r="L352" s="85"/>
      <c r="M352" s="85"/>
      <c r="N352" s="85"/>
      <c r="O352" s="431"/>
    </row>
  </sheetData>
  <mergeCells count="5">
    <mergeCell ref="P3:U3"/>
    <mergeCell ref="W3:AC3"/>
    <mergeCell ref="AE3:AJ3"/>
    <mergeCell ref="I3:N3"/>
    <mergeCell ref="B3:G3"/>
  </mergeCells>
  <conditionalFormatting sqref="B275:F281 I275:AJ281">
    <cfRule type="cellIs" dxfId="15" priority="104" stopIfTrue="1" operator="greaterThan">
      <formula>B226/100</formula>
    </cfRule>
  </conditionalFormatting>
  <conditionalFormatting sqref="B283:F283 I283:AJ283">
    <cfRule type="cellIs" dxfId="14" priority="103" stopIfTrue="1" operator="greaterThan">
      <formula>B260</formula>
    </cfRule>
  </conditionalFormatting>
  <conditionalFormatting sqref="B285:F286 I285:AJ286">
    <cfRule type="cellIs" dxfId="13" priority="102" stopIfTrue="1" operator="greaterThan">
      <formula>B259</formula>
    </cfRule>
  </conditionalFormatting>
  <conditionalFormatting sqref="B287:F287 I287:AJ287">
    <cfRule type="cellIs" dxfId="12" priority="101" stopIfTrue="1" operator="greaterThan">
      <formula>B256/B257</formula>
    </cfRule>
  </conditionalFormatting>
  <conditionalFormatting sqref="B288:F288 I288:AJ288">
    <cfRule type="cellIs" dxfId="11" priority="100" stopIfTrue="1" operator="lessThan">
      <formula>B256/B257</formula>
    </cfRule>
  </conditionalFormatting>
  <conditionalFormatting sqref="B292:F292 I292:AJ292">
    <cfRule type="cellIs" dxfId="10" priority="99" stopIfTrue="1" operator="lessThan">
      <formula>B302</formula>
    </cfRule>
  </conditionalFormatting>
  <conditionalFormatting sqref="B282:F282 I282:AJ282">
    <cfRule type="cellIs" dxfId="9" priority="98" stopIfTrue="1" operator="greaterThan">
      <formula>B251/100</formula>
    </cfRule>
  </conditionalFormatting>
  <conditionalFormatting sqref="G275:H281">
    <cfRule type="cellIs" dxfId="8" priority="27" stopIfTrue="1" operator="greaterThan">
      <formula>G226/100</formula>
    </cfRule>
  </conditionalFormatting>
  <conditionalFormatting sqref="G283:H283">
    <cfRule type="cellIs" dxfId="7" priority="26" stopIfTrue="1" operator="greaterThan">
      <formula>G260</formula>
    </cfRule>
  </conditionalFormatting>
  <conditionalFormatting sqref="G285:H286">
    <cfRule type="cellIs" dxfId="6" priority="25" stopIfTrue="1" operator="greaterThan">
      <formula>G259</formula>
    </cfRule>
  </conditionalFormatting>
  <conditionalFormatting sqref="G287:H287">
    <cfRule type="cellIs" dxfId="5" priority="24" stopIfTrue="1" operator="greaterThan">
      <formula>G256/G257</formula>
    </cfRule>
  </conditionalFormatting>
  <conditionalFormatting sqref="G288:H288">
    <cfRule type="cellIs" dxfId="4" priority="23" stopIfTrue="1" operator="lessThan">
      <formula>G256/G257</formula>
    </cfRule>
  </conditionalFormatting>
  <conditionalFormatting sqref="G292:H292">
    <cfRule type="cellIs" dxfId="3" priority="22" stopIfTrue="1" operator="lessThan">
      <formula>G302</formula>
    </cfRule>
  </conditionalFormatting>
  <conditionalFormatting sqref="G282:H282">
    <cfRule type="cellIs" dxfId="2" priority="21" stopIfTrue="1" operator="greaterThan">
      <formula>G251/100</formula>
    </cfRule>
  </conditionalFormatting>
  <conditionalFormatting sqref="AK282">
    <cfRule type="cellIs" dxfId="1" priority="16" stopIfTrue="1" operator="greaterThan">
      <formula>AK251/100</formula>
    </cfRule>
  </conditionalFormatting>
  <conditionalFormatting sqref="AL282">
    <cfRule type="cellIs" dxfId="0" priority="1" stopIfTrue="1" operator="greaterThan">
      <formula>AL251/100</formula>
    </cfRule>
  </conditionalFormatting>
  <dataValidations count="2">
    <dataValidation type="list" allowBlank="1" showInputMessage="1" showErrorMessage="1" sqref="A7" xr:uid="{00000000-0002-0000-0200-000000000000}">
      <formula1>$A$77:$A$79</formula1>
    </dataValidation>
    <dataValidation type="list" allowBlank="1" showInputMessage="1" showErrorMessage="1" sqref="A6" xr:uid="{00000000-0002-0000-0200-000001000000}">
      <formula1>$A$8:$A$9</formula1>
    </dataValidation>
  </dataValidations>
  <pageMargins left="0.41" right="0.28999999999999998" top="0.89" bottom="0.83" header="0.5" footer="0.5"/>
  <pageSetup pageOrder="overThenDown" orientation="portrait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N21"/>
  <sheetViews>
    <sheetView zoomScale="150" zoomScaleNormal="150" workbookViewId="0">
      <selection activeCell="DX129" sqref="DX129"/>
    </sheetView>
  </sheetViews>
  <sheetFormatPr baseColWidth="10" defaultColWidth="10.83203125" defaultRowHeight="13" x14ac:dyDescent="0.15"/>
  <cols>
    <col min="1" max="1" width="10.83203125" style="404"/>
    <col min="2" max="2" width="15.33203125" style="404" bestFit="1" customWidth="1"/>
    <col min="3" max="16384" width="10.83203125" style="404"/>
  </cols>
  <sheetData>
    <row r="1" spans="1:14" ht="37" x14ac:dyDescent="0.45">
      <c r="A1" s="401"/>
      <c r="B1" s="401"/>
      <c r="C1" s="402"/>
      <c r="D1" s="403"/>
      <c r="E1" s="403"/>
      <c r="F1" s="403"/>
      <c r="G1" s="403"/>
      <c r="H1" s="403"/>
      <c r="I1" s="401"/>
      <c r="J1" s="401"/>
      <c r="K1" s="401"/>
      <c r="L1" s="401"/>
      <c r="M1" s="401"/>
      <c r="N1" s="401"/>
    </row>
    <row r="2" spans="1:14" ht="34" x14ac:dyDescent="0.4">
      <c r="A2" s="401"/>
      <c r="B2" s="401"/>
      <c r="C2" s="405" t="s">
        <v>471</v>
      </c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3" spans="1:14" x14ac:dyDescent="0.15">
      <c r="A3" s="401"/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</row>
    <row r="4" spans="1:14" x14ac:dyDescent="0.15">
      <c r="A4" s="401"/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</row>
    <row r="7" spans="1:14" x14ac:dyDescent="0.15">
      <c r="B7" s="502" t="s">
        <v>381</v>
      </c>
      <c r="C7" s="502"/>
    </row>
    <row r="8" spans="1:14" x14ac:dyDescent="0.15">
      <c r="A8" s="406" t="s">
        <v>145</v>
      </c>
      <c r="B8" s="407" t="s">
        <v>472</v>
      </c>
      <c r="C8" s="407" t="s">
        <v>473</v>
      </c>
    </row>
    <row r="9" spans="1:14" x14ac:dyDescent="0.15">
      <c r="A9" s="408">
        <v>60</v>
      </c>
      <c r="B9" s="409">
        <f t="shared" ref="B9:B19" si="0">0.0000525399*(A9^2) - 0.0318440829*A9 + 7.2558942721</f>
        <v>5.5343929380999999</v>
      </c>
      <c r="C9" s="409">
        <f t="shared" ref="C9:C19" si="1">0.0000312306*(A9^2)-0.0192700457*A9+5.3935826854</f>
        <v>4.3498101034000003</v>
      </c>
    </row>
    <row r="10" spans="1:14" x14ac:dyDescent="0.15">
      <c r="A10" s="408">
        <v>80</v>
      </c>
      <c r="B10" s="409">
        <f t="shared" si="0"/>
        <v>5.0446230000999996</v>
      </c>
      <c r="C10" s="409">
        <f t="shared" si="1"/>
        <v>4.0518548694000005</v>
      </c>
    </row>
    <row r="11" spans="1:14" x14ac:dyDescent="0.15">
      <c r="A11" s="408">
        <v>100</v>
      </c>
      <c r="B11" s="409">
        <f t="shared" si="0"/>
        <v>4.5968849821000006</v>
      </c>
      <c r="C11" s="409">
        <f t="shared" si="1"/>
        <v>3.7788841154000004</v>
      </c>
    </row>
    <row r="12" spans="1:14" x14ac:dyDescent="0.15">
      <c r="A12" s="408">
        <v>120</v>
      </c>
      <c r="B12" s="409">
        <f t="shared" si="0"/>
        <v>4.1911788841000002</v>
      </c>
      <c r="C12" s="409">
        <f t="shared" si="1"/>
        <v>3.5308978414000007</v>
      </c>
    </row>
    <row r="13" spans="1:14" x14ac:dyDescent="0.15">
      <c r="A13" s="408">
        <v>140</v>
      </c>
      <c r="B13" s="409">
        <f t="shared" si="0"/>
        <v>3.8275047060999992</v>
      </c>
      <c r="C13" s="409">
        <f t="shared" si="1"/>
        <v>3.3078960474000003</v>
      </c>
    </row>
    <row r="14" spans="1:14" x14ac:dyDescent="0.15">
      <c r="A14" s="408">
        <v>160</v>
      </c>
      <c r="B14" s="409">
        <f t="shared" si="0"/>
        <v>3.5058624480999994</v>
      </c>
      <c r="C14" s="409">
        <f t="shared" si="1"/>
        <v>3.1098787334000004</v>
      </c>
    </row>
    <row r="15" spans="1:14" x14ac:dyDescent="0.15">
      <c r="A15" s="408">
        <v>180</v>
      </c>
      <c r="B15" s="409">
        <f t="shared" si="0"/>
        <v>3.2262521100999999</v>
      </c>
      <c r="C15" s="409">
        <f t="shared" si="1"/>
        <v>2.9368458994000006</v>
      </c>
    </row>
    <row r="16" spans="1:14" x14ac:dyDescent="0.15">
      <c r="A16" s="408">
        <v>200</v>
      </c>
      <c r="B16" s="409">
        <f t="shared" si="0"/>
        <v>2.9886736920999999</v>
      </c>
      <c r="C16" s="409">
        <f t="shared" si="1"/>
        <v>2.7887975454000005</v>
      </c>
    </row>
    <row r="17" spans="1:3" x14ac:dyDescent="0.15">
      <c r="A17" s="408">
        <v>220</v>
      </c>
      <c r="B17" s="409">
        <f t="shared" si="0"/>
        <v>2.7931271941000002</v>
      </c>
      <c r="C17" s="409">
        <f t="shared" si="1"/>
        <v>2.6657336714000008</v>
      </c>
    </row>
    <row r="18" spans="1:3" x14ac:dyDescent="0.15">
      <c r="A18" s="408">
        <v>240</v>
      </c>
      <c r="B18" s="409">
        <f t="shared" si="0"/>
        <v>2.6396126161</v>
      </c>
      <c r="C18" s="409">
        <f t="shared" si="1"/>
        <v>2.5676542774000009</v>
      </c>
    </row>
    <row r="19" spans="1:3" x14ac:dyDescent="0.15">
      <c r="A19" s="408">
        <v>260</v>
      </c>
      <c r="B19" s="409">
        <f t="shared" si="0"/>
        <v>2.5281299580999992</v>
      </c>
      <c r="C19" s="409">
        <f t="shared" si="1"/>
        <v>2.494559363400001</v>
      </c>
    </row>
    <row r="20" spans="1:3" x14ac:dyDescent="0.15">
      <c r="A20" s="408"/>
      <c r="B20" s="409"/>
      <c r="C20" s="409"/>
    </row>
    <row r="21" spans="1:3" x14ac:dyDescent="0.15">
      <c r="A21" s="408"/>
      <c r="B21" s="409"/>
      <c r="C21" s="409"/>
    </row>
  </sheetData>
  <mergeCells count="1">
    <mergeCell ref="B7:C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2:AL89"/>
  <sheetViews>
    <sheetView topLeftCell="C27" zoomScale="180" zoomScaleNormal="180" workbookViewId="0">
      <selection activeCell="N53" sqref="N53"/>
    </sheetView>
  </sheetViews>
  <sheetFormatPr baseColWidth="10" defaultColWidth="8.83203125" defaultRowHeight="13" x14ac:dyDescent="0.15"/>
  <cols>
    <col min="2" max="2" width="21" bestFit="1" customWidth="1"/>
    <col min="3" max="3" width="13" bestFit="1" customWidth="1"/>
    <col min="4" max="8" width="12.6640625" bestFit="1" customWidth="1"/>
    <col min="9" max="9" width="10.6640625" bestFit="1" customWidth="1"/>
    <col min="10" max="10" width="9.83203125" bestFit="1" customWidth="1"/>
    <col min="14" max="14" width="19.83203125" bestFit="1" customWidth="1"/>
    <col min="30" max="30" width="17.1640625" bestFit="1" customWidth="1"/>
    <col min="34" max="34" width="12.6640625" bestFit="1" customWidth="1"/>
    <col min="35" max="35" width="12.83203125" bestFit="1" customWidth="1"/>
    <col min="39" max="41" width="12.6640625" bestFit="1" customWidth="1"/>
  </cols>
  <sheetData>
    <row r="2" spans="1:31" x14ac:dyDescent="0.15">
      <c r="B2" s="261" t="s">
        <v>475</v>
      </c>
    </row>
    <row r="3" spans="1:31" x14ac:dyDescent="0.15">
      <c r="B3" s="261" t="s">
        <v>476</v>
      </c>
      <c r="C3" s="261" t="str">
        <f>'Lys Calculator-kg'!B15</f>
        <v>Start weight, kg</v>
      </c>
      <c r="D3" s="261" t="str">
        <f>'Lys Calculator-kg'!B16</f>
        <v>End weight, kg</v>
      </c>
    </row>
    <row r="4" spans="1:31" x14ac:dyDescent="0.15">
      <c r="B4">
        <v>1</v>
      </c>
      <c r="C4">
        <f>IF(C3="Start weight, lb",40,18)</f>
        <v>18</v>
      </c>
      <c r="D4">
        <f>IF(D3="End weight, lb",89,40)</f>
        <v>40</v>
      </c>
    </row>
    <row r="5" spans="1:31" x14ac:dyDescent="0.15">
      <c r="B5">
        <v>2</v>
      </c>
      <c r="C5">
        <f>IF(C3="Start weight, lb",80,36)</f>
        <v>36</v>
      </c>
      <c r="D5">
        <f>IF(D3="End weight, lb",120,54)</f>
        <v>54</v>
      </c>
    </row>
    <row r="6" spans="1:31" x14ac:dyDescent="0.15">
      <c r="B6">
        <v>3</v>
      </c>
      <c r="C6">
        <f>IF(C3="Start weight, lb",117,53)</f>
        <v>53</v>
      </c>
      <c r="D6">
        <f>IF(D3="End weight, lb",167,75)</f>
        <v>75</v>
      </c>
    </row>
    <row r="7" spans="1:31" x14ac:dyDescent="0.15">
      <c r="B7">
        <v>4</v>
      </c>
      <c r="C7">
        <f>IF(C3="Start weight, lb",168,76)</f>
        <v>76</v>
      </c>
      <c r="D7">
        <f>IF(D3="End weight, lb",220,100)</f>
        <v>100</v>
      </c>
    </row>
    <row r="8" spans="1:31" x14ac:dyDescent="0.15">
      <c r="B8">
        <v>5</v>
      </c>
      <c r="C8">
        <f>IF(C3="Start weight, lb",229,103)</f>
        <v>103</v>
      </c>
      <c r="D8">
        <f>IF(D3="End weight, lb",283,128)</f>
        <v>128</v>
      </c>
    </row>
    <row r="12" spans="1:31" x14ac:dyDescent="0.15">
      <c r="B12" s="261" t="s">
        <v>480</v>
      </c>
      <c r="D12" s="261" t="s">
        <v>481</v>
      </c>
      <c r="E12">
        <v>24</v>
      </c>
    </row>
    <row r="13" spans="1:31" ht="14" thickBot="1" x14ac:dyDescent="0.2">
      <c r="AD13" t="s">
        <v>509</v>
      </c>
    </row>
    <row r="14" spans="1:31" ht="17" thickBot="1" x14ac:dyDescent="0.2">
      <c r="C14" s="415">
        <v>1</v>
      </c>
      <c r="D14" s="415">
        <v>1.1000000000000001</v>
      </c>
      <c r="E14" s="415">
        <v>1.2</v>
      </c>
      <c r="F14" s="415">
        <v>1.3</v>
      </c>
      <c r="G14" s="415">
        <v>1.4</v>
      </c>
      <c r="H14" s="416">
        <v>1.5</v>
      </c>
    </row>
    <row r="15" spans="1:31" ht="16" x14ac:dyDescent="0.15">
      <c r="A15" s="261" t="s">
        <v>556</v>
      </c>
      <c r="B15" s="261" t="s">
        <v>477</v>
      </c>
      <c r="C15" s="480">
        <f>(-0.282148*(C14^2)+0.797053*(C14)+0.339)*1000</f>
        <v>853.90499999999986</v>
      </c>
      <c r="D15" s="480">
        <f t="shared" ref="D15:H15" si="0">(-0.282148*(D14^2)+0.797053*(D14)+0.339)*1000</f>
        <v>874.35922000000005</v>
      </c>
      <c r="E15" s="480">
        <f t="shared" si="0"/>
        <v>889.17048</v>
      </c>
      <c r="F15" s="480">
        <f t="shared" si="0"/>
        <v>898.33878000000004</v>
      </c>
      <c r="G15" s="480">
        <f t="shared" si="0"/>
        <v>901.86411999999996</v>
      </c>
      <c r="H15" s="480">
        <f t="shared" si="0"/>
        <v>899.74649999999997</v>
      </c>
      <c r="AD15" s="461" t="s">
        <v>510</v>
      </c>
      <c r="AE15" s="461"/>
    </row>
    <row r="16" spans="1:31" ht="16" x14ac:dyDescent="0.15">
      <c r="B16" s="261" t="s">
        <v>478</v>
      </c>
      <c r="C16" s="414">
        <v>1477</v>
      </c>
      <c r="D16" s="414">
        <v>1468</v>
      </c>
      <c r="E16" s="414">
        <v>1472</v>
      </c>
      <c r="F16" s="414">
        <v>1429</v>
      </c>
      <c r="G16" s="414">
        <v>1445</v>
      </c>
      <c r="H16" s="414">
        <v>1411</v>
      </c>
      <c r="AD16" s="370" t="s">
        <v>511</v>
      </c>
      <c r="AE16" s="370">
        <v>0.94280927947573612</v>
      </c>
    </row>
    <row r="17" spans="2:38" ht="16" x14ac:dyDescent="0.15">
      <c r="B17" s="261" t="s">
        <v>479</v>
      </c>
      <c r="C17" s="480">
        <f>(C14*0.1174533+0.4695)*1000</f>
        <v>586.95330000000001</v>
      </c>
      <c r="D17" s="480">
        <f t="shared" ref="D17:H17" si="1">(D14*0.1174533+0.4695)*1000</f>
        <v>598.69862999999998</v>
      </c>
      <c r="E17" s="480">
        <f t="shared" si="1"/>
        <v>610.44396000000006</v>
      </c>
      <c r="F17" s="480">
        <f t="shared" si="1"/>
        <v>622.18929000000003</v>
      </c>
      <c r="G17" s="480">
        <f t="shared" si="1"/>
        <v>633.93462</v>
      </c>
      <c r="H17" s="480">
        <f t="shared" si="1"/>
        <v>645.67994999999996</v>
      </c>
      <c r="AD17" s="370" t="s">
        <v>512</v>
      </c>
      <c r="AE17" s="370">
        <v>0.88888933746555665</v>
      </c>
    </row>
    <row r="18" spans="2:38" x14ac:dyDescent="0.15">
      <c r="B18" s="261" t="s">
        <v>128</v>
      </c>
      <c r="C18" s="4">
        <f>1000/C17</f>
        <v>1.7037130551953621</v>
      </c>
      <c r="D18" s="4">
        <f t="shared" ref="D18:H18" si="2">1000/D17</f>
        <v>1.6702894409496143</v>
      </c>
      <c r="E18" s="4">
        <f t="shared" si="2"/>
        <v>1.6381520098912927</v>
      </c>
      <c r="F18" s="4">
        <f t="shared" si="2"/>
        <v>1.607227922550708</v>
      </c>
      <c r="G18" s="4">
        <f t="shared" si="2"/>
        <v>1.5774497376401371</v>
      </c>
      <c r="H18" s="4">
        <f t="shared" si="2"/>
        <v>1.5487549210719647</v>
      </c>
      <c r="AD18" s="370" t="s">
        <v>513</v>
      </c>
      <c r="AE18" s="370">
        <v>0.7777786749311133</v>
      </c>
    </row>
    <row r="19" spans="2:38" x14ac:dyDescent="0.15">
      <c r="B19" s="261" t="s">
        <v>482</v>
      </c>
      <c r="C19" s="136">
        <f t="shared" ref="C19:H19" si="3">C15/1000*$E$12</f>
        <v>20.493719999999996</v>
      </c>
      <c r="D19" s="136">
        <f t="shared" si="3"/>
        <v>20.984621280000002</v>
      </c>
      <c r="E19" s="136">
        <f t="shared" si="3"/>
        <v>21.340091520000001</v>
      </c>
      <c r="F19" s="136">
        <f t="shared" si="3"/>
        <v>21.56013072</v>
      </c>
      <c r="G19" s="136">
        <f t="shared" si="3"/>
        <v>21.644738879999998</v>
      </c>
      <c r="H19" s="136">
        <f t="shared" si="3"/>
        <v>21.593916</v>
      </c>
      <c r="AD19" s="370" t="s">
        <v>514</v>
      </c>
      <c r="AE19" s="370">
        <v>0.29673347575230691</v>
      </c>
    </row>
    <row r="20" spans="2:38" ht="14" thickBot="1" x14ac:dyDescent="0.2">
      <c r="B20" s="261" t="s">
        <v>483</v>
      </c>
      <c r="C20" s="417">
        <f>IF('Lys Calculator-kg'!$I$3="$/lb",IF('Lys Calculator-kg'!$G$3="Carcass Price",C19*0.75*('Lys Calculator-kg'!$H$3/0.453592),C19*('Lys Calculator-kg'!$H$3/0.453592)),IF('Lys Calculator-kg'!$G$3="Carcass Price",C19*0.75*('Lys Calculator-kg'!$H$3),C19*('Lys Calculator-kg'!$H$3)))</f>
        <v>22.286920499999994</v>
      </c>
      <c r="D20" s="417">
        <f>IF('Lys Calculator-kg'!$I$3="$/lb",IF('Lys Calculator-kg'!$G$3="Carcass Price",D19*0.75*('Lys Calculator-kg'!$H$3/0.453592),D19*('Lys Calculator-kg'!$H$3/0.453592)),IF('Lys Calculator-kg'!$G$3="Carcass Price",D19*0.75*('Lys Calculator-kg'!$H$3),D19*('Lys Calculator-kg'!$H$3)))</f>
        <v>22.820775642000005</v>
      </c>
      <c r="E20" s="417">
        <f>IF('Lys Calculator-kg'!$I$3="$/lb",IF('Lys Calculator-kg'!$G$3="Carcass Price",E19*0.75*('Lys Calculator-kg'!$H$3/0.453592),E19*('Lys Calculator-kg'!$H$3/0.453592)),IF('Lys Calculator-kg'!$G$3="Carcass Price",E19*0.75*('Lys Calculator-kg'!$H$3),E19*('Lys Calculator-kg'!$H$3)))</f>
        <v>23.207349528000002</v>
      </c>
      <c r="F20" s="417">
        <f>IF('Lys Calculator-kg'!$I$3="$/lb",IF('Lys Calculator-kg'!$G$3="Carcass Price",F19*0.75*('Lys Calculator-kg'!$H$3/0.453592),F19*('Lys Calculator-kg'!$H$3/0.453592)),IF('Lys Calculator-kg'!$G$3="Carcass Price",F19*0.75*('Lys Calculator-kg'!$H$3),F19*('Lys Calculator-kg'!$H$3)))</f>
        <v>23.446642158</v>
      </c>
      <c r="G20" s="417">
        <f>IF('Lys Calculator-kg'!$I$3="$/lb",IF('Lys Calculator-kg'!$G$3="Carcass Price",G19*0.75*('Lys Calculator-kg'!$H$3/0.453592),G19*('Lys Calculator-kg'!$H$3/0.453592)),IF('Lys Calculator-kg'!$G$3="Carcass Price",G19*0.75*('Lys Calculator-kg'!$H$3),G19*('Lys Calculator-kg'!$H$3)))</f>
        <v>23.538653531999994</v>
      </c>
      <c r="H20" s="417">
        <f>IF('Lys Calculator-kg'!$I$3="$/lb",IF('Lys Calculator-kg'!$G$3="Carcass Price",H19*0.75*('Lys Calculator-kg'!$H$3/0.453592),H19*('Lys Calculator-kg'!$H$3/0.453592)),IF('Lys Calculator-kg'!$G$3="Carcass Price",H19*0.75*('Lys Calculator-kg'!$H$3),H19*('Lys Calculator-kg'!$H$3)))</f>
        <v>23.483383649999997</v>
      </c>
      <c r="AD20" s="459" t="s">
        <v>515</v>
      </c>
      <c r="AE20" s="459">
        <v>5</v>
      </c>
    </row>
    <row r="21" spans="2:38" x14ac:dyDescent="0.15">
      <c r="B21" s="261" t="s">
        <v>484</v>
      </c>
      <c r="C21">
        <f>(C19*C18)</f>
        <v>34.915418313518288</v>
      </c>
      <c r="D21">
        <f t="shared" ref="D21:H21" si="4">(D19*D18)</f>
        <v>35.050391346310583</v>
      </c>
      <c r="E21">
        <f t="shared" si="4"/>
        <v>34.958313814752131</v>
      </c>
      <c r="F21">
        <f t="shared" si="4"/>
        <v>34.652044107027301</v>
      </c>
      <c r="G21">
        <f t="shared" si="4"/>
        <v>34.143487667545273</v>
      </c>
      <c r="H21">
        <f t="shared" si="4"/>
        <v>33.443683670214632</v>
      </c>
    </row>
    <row r="22" spans="2:38" ht="14" thickBot="1" x14ac:dyDescent="0.2">
      <c r="B22" s="261" t="s">
        <v>485</v>
      </c>
      <c r="C22">
        <f>'GF diets '!B269/907</f>
        <v>0.35995296359697365</v>
      </c>
      <c r="D22">
        <f>'GF diets '!C269/907</f>
        <v>0.37164354472442312</v>
      </c>
      <c r="E22">
        <f>'GF diets '!D269/907</f>
        <v>0.38432347175793385</v>
      </c>
      <c r="F22">
        <f>'GF diets '!E269/907</f>
        <v>0.39706191584874651</v>
      </c>
      <c r="G22">
        <f>'GF diets '!F269/907</f>
        <v>0.40998058234258095</v>
      </c>
      <c r="H22">
        <f>'GF diets '!G269/907</f>
        <v>0.42243369672465619</v>
      </c>
      <c r="AD22" t="s">
        <v>516</v>
      </c>
    </row>
    <row r="23" spans="2:38" x14ac:dyDescent="0.15">
      <c r="B23" s="261" t="s">
        <v>486</v>
      </c>
      <c r="C23">
        <f>C21*C22</f>
        <v>12.567908297178956</v>
      </c>
      <c r="D23">
        <f t="shared" ref="D23:G23" si="5">D21*D22</f>
        <v>13.02625168392111</v>
      </c>
      <c r="E23">
        <f t="shared" si="5"/>
        <v>13.435300532088879</v>
      </c>
      <c r="F23">
        <f t="shared" si="5"/>
        <v>13.759007021211527</v>
      </c>
      <c r="G23">
        <f t="shared" si="5"/>
        <v>13.998166957146942</v>
      </c>
      <c r="H23">
        <f>H21*H22</f>
        <v>14.127738924898784</v>
      </c>
      <c r="K23" s="261" t="s">
        <v>488</v>
      </c>
      <c r="L23" s="261" t="s">
        <v>506</v>
      </c>
      <c r="M23" s="261" t="s">
        <v>538</v>
      </c>
      <c r="N23" s="261" t="s">
        <v>496</v>
      </c>
      <c r="AD23" s="460"/>
      <c r="AE23" s="460" t="s">
        <v>521</v>
      </c>
      <c r="AF23" s="460" t="s">
        <v>522</v>
      </c>
      <c r="AG23" s="460" t="s">
        <v>523</v>
      </c>
      <c r="AH23" s="460" t="s">
        <v>494</v>
      </c>
      <c r="AI23" s="460" t="s">
        <v>524</v>
      </c>
    </row>
    <row r="24" spans="2:38" ht="14" thickBot="1" x14ac:dyDescent="0.2">
      <c r="B24" s="261" t="s">
        <v>487</v>
      </c>
      <c r="C24" s="417">
        <f>C20-C23</f>
        <v>9.7190122028210375</v>
      </c>
      <c r="D24" s="417">
        <f t="shared" ref="D24:H24" si="6">D20-D23</f>
        <v>9.7945239580788943</v>
      </c>
      <c r="E24" s="417">
        <f t="shared" si="6"/>
        <v>9.7720489959111223</v>
      </c>
      <c r="F24" s="417">
        <f t="shared" si="6"/>
        <v>9.6876351367884723</v>
      </c>
      <c r="G24" s="417">
        <f t="shared" si="6"/>
        <v>9.5404865748530518</v>
      </c>
      <c r="H24" s="417">
        <f t="shared" si="6"/>
        <v>9.3556447251012127</v>
      </c>
      <c r="J24" s="261" t="s">
        <v>533</v>
      </c>
      <c r="K24" s="417">
        <f>MAX(C24:H24)</f>
        <v>9.7945239580788943</v>
      </c>
      <c r="L24" s="457">
        <f>AVERAGE(C4:D4)</f>
        <v>29</v>
      </c>
      <c r="M24" s="457">
        <f>L24^2</f>
        <v>841</v>
      </c>
      <c r="N24">
        <f>HLOOKUP(K24,$B$24:$H$25,2,FALSE)</f>
        <v>4.3099999999999996</v>
      </c>
      <c r="AD24" s="370" t="s">
        <v>517</v>
      </c>
      <c r="AE24" s="370">
        <v>2</v>
      </c>
      <c r="AF24" s="370">
        <v>1.4088184887359094</v>
      </c>
      <c r="AG24" s="370">
        <v>0.70440924436795471</v>
      </c>
      <c r="AH24" s="370">
        <v>8.0000363348567802</v>
      </c>
      <c r="AI24" s="370">
        <v>0.11111066253444332</v>
      </c>
    </row>
    <row r="25" spans="2:38" ht="17" thickBot="1" x14ac:dyDescent="0.2">
      <c r="B25" s="261" t="s">
        <v>497</v>
      </c>
      <c r="C25" s="415">
        <v>3.92</v>
      </c>
      <c r="D25" s="415">
        <v>4.3099999999999996</v>
      </c>
      <c r="E25" s="415">
        <v>4.7</v>
      </c>
      <c r="F25" s="415">
        <v>5.09</v>
      </c>
      <c r="G25" s="415">
        <v>5.48</v>
      </c>
      <c r="H25" s="416">
        <v>5.88</v>
      </c>
      <c r="J25" s="261" t="s">
        <v>534</v>
      </c>
      <c r="K25" s="417">
        <f>MAX(C40:H40)</f>
        <v>7.06522319570945</v>
      </c>
      <c r="L25" s="457">
        <f>AVERAGE(C5:D5)</f>
        <v>45</v>
      </c>
      <c r="M25" s="457">
        <f t="shared" ref="M25:M28" si="7">L25^2</f>
        <v>2025</v>
      </c>
      <c r="N25">
        <f>HLOOKUP(K25,$C$40:$H$41,2,FALSE)</f>
        <v>2.97</v>
      </c>
      <c r="AD25" s="370" t="s">
        <v>518</v>
      </c>
      <c r="AE25" s="370">
        <v>2</v>
      </c>
      <c r="AF25" s="370">
        <v>0.17610151126408985</v>
      </c>
      <c r="AG25" s="370">
        <v>8.8050755632044925E-2</v>
      </c>
      <c r="AH25" s="370"/>
      <c r="AI25" s="370"/>
    </row>
    <row r="26" spans="2:38" ht="14" thickBot="1" x14ac:dyDescent="0.2">
      <c r="J26" s="261" t="s">
        <v>535</v>
      </c>
      <c r="K26" s="417">
        <f>MAX(C56:H56)</f>
        <v>6.4421131352639449</v>
      </c>
      <c r="L26" s="457">
        <f t="shared" ref="L26:L28" si="8">AVERAGE(C6:D6)</f>
        <v>64</v>
      </c>
      <c r="M26" s="457">
        <f t="shared" si="7"/>
        <v>4096</v>
      </c>
      <c r="N26">
        <f>HLOOKUP(K26,$C$56:$H$57,2,FALSE)</f>
        <v>3.44</v>
      </c>
      <c r="AD26" s="459" t="s">
        <v>519</v>
      </c>
      <c r="AE26" s="459">
        <v>4</v>
      </c>
      <c r="AF26" s="459">
        <v>1.5849199999999992</v>
      </c>
      <c r="AG26" s="459"/>
      <c r="AH26" s="459"/>
      <c r="AI26" s="459"/>
    </row>
    <row r="27" spans="2:38" ht="14" thickBot="1" x14ac:dyDescent="0.2">
      <c r="J27" s="261" t="s">
        <v>536</v>
      </c>
      <c r="K27" s="417">
        <f>MAX(C72:I72)</f>
        <v>4.3363181925559005</v>
      </c>
      <c r="L27" s="457">
        <f t="shared" si="8"/>
        <v>88</v>
      </c>
      <c r="M27" s="457">
        <f t="shared" si="7"/>
        <v>7744</v>
      </c>
      <c r="N27">
        <f>HLOOKUP(K27,$C$72:$I$73,2,FALSE)</f>
        <v>2.67</v>
      </c>
    </row>
    <row r="28" spans="2:38" x14ac:dyDescent="0.15">
      <c r="B28" s="261" t="s">
        <v>498</v>
      </c>
      <c r="D28" s="261" t="s">
        <v>481</v>
      </c>
      <c r="E28">
        <v>18</v>
      </c>
      <c r="J28" s="261" t="s">
        <v>537</v>
      </c>
      <c r="K28" s="417">
        <f>MAX(C88:H88)</f>
        <v>2.5440185882275799</v>
      </c>
      <c r="L28" s="457">
        <f t="shared" si="8"/>
        <v>115.5</v>
      </c>
      <c r="M28" s="457">
        <f t="shared" si="7"/>
        <v>13340.25</v>
      </c>
      <c r="N28">
        <f>HLOOKUP(K28,$C$88:$H$89,2,FALSE)</f>
        <v>2.4700000000000002</v>
      </c>
      <c r="AD28" s="460"/>
      <c r="AE28" s="460" t="s">
        <v>525</v>
      </c>
      <c r="AF28" s="460" t="s">
        <v>514</v>
      </c>
      <c r="AG28" s="460" t="s">
        <v>526</v>
      </c>
      <c r="AH28" s="460" t="s">
        <v>527</v>
      </c>
      <c r="AI28" s="460" t="s">
        <v>528</v>
      </c>
      <c r="AJ28" s="460" t="s">
        <v>529</v>
      </c>
      <c r="AK28" s="460" t="s">
        <v>530</v>
      </c>
      <c r="AL28" s="460" t="s">
        <v>531</v>
      </c>
    </row>
    <row r="29" spans="2:38" x14ac:dyDescent="0.15">
      <c r="AD29" s="370" t="s">
        <v>520</v>
      </c>
      <c r="AE29" s="370">
        <v>5.0465442602866615</v>
      </c>
      <c r="AF29" s="370">
        <v>0.80371560481365312</v>
      </c>
      <c r="AG29" s="370">
        <v>6.2790173913031548</v>
      </c>
      <c r="AH29" s="370">
        <v>2.4438002719126731E-2</v>
      </c>
      <c r="AI29" s="370">
        <v>1.5884351192929556</v>
      </c>
      <c r="AJ29" s="370">
        <v>8.5046534012803683</v>
      </c>
      <c r="AK29" s="370">
        <v>1.5884351192929556</v>
      </c>
      <c r="AL29" s="370">
        <v>8.5046534012803683</v>
      </c>
    </row>
    <row r="30" spans="2:38" x14ac:dyDescent="0.15">
      <c r="C30" s="229">
        <v>0.8</v>
      </c>
      <c r="D30" s="229">
        <v>0.88</v>
      </c>
      <c r="E30" s="229">
        <v>0.96</v>
      </c>
      <c r="F30" s="229">
        <v>1.04</v>
      </c>
      <c r="G30" s="229">
        <v>1.1200000000000001</v>
      </c>
      <c r="H30" s="229">
        <v>1.2</v>
      </c>
      <c r="AD30" s="370" t="s">
        <v>532</v>
      </c>
      <c r="AE30" s="370">
        <v>-1.4149335895459155E-2</v>
      </c>
      <c r="AF30" s="370">
        <v>1.1351405854909104E-2</v>
      </c>
      <c r="AG30" s="370">
        <v>-1.2464831296063685</v>
      </c>
      <c r="AH30" s="370">
        <v>0.33878181373159821</v>
      </c>
      <c r="AI30" s="370">
        <v>-6.299049328357785E-2</v>
      </c>
      <c r="AJ30" s="370">
        <v>3.4691821492659543E-2</v>
      </c>
      <c r="AK30" s="370">
        <v>-6.299049328357785E-2</v>
      </c>
      <c r="AL30" s="370">
        <v>3.4691821492659543E-2</v>
      </c>
    </row>
    <row r="31" spans="2:38" ht="14" thickBot="1" x14ac:dyDescent="0.2">
      <c r="B31" s="261" t="s">
        <v>499</v>
      </c>
      <c r="C31" s="4">
        <f>0.09991221*C30+0.9094085</f>
        <v>0.98933826800000002</v>
      </c>
      <c r="D31" s="4">
        <f t="shared" ref="D31:H31" si="9">0.09991221*D30+0.9094085</f>
        <v>0.99733124480000002</v>
      </c>
      <c r="E31" s="4">
        <f t="shared" si="9"/>
        <v>1.0053242216</v>
      </c>
      <c r="F31" s="4">
        <f t="shared" si="9"/>
        <v>1.0133171984</v>
      </c>
      <c r="G31" s="4">
        <f t="shared" si="9"/>
        <v>1.0213101752</v>
      </c>
      <c r="H31" s="4">
        <f t="shared" si="9"/>
        <v>1.029303152</v>
      </c>
      <c r="J31" s="506" t="s">
        <v>540</v>
      </c>
      <c r="AD31" s="459" t="s">
        <v>539</v>
      </c>
      <c r="AE31" s="459">
        <v>1.993691685032533E-5</v>
      </c>
      <c r="AF31" s="459">
        <v>3.4778233098409151E-5</v>
      </c>
      <c r="AG31" s="459">
        <v>0.57325847445761402</v>
      </c>
      <c r="AH31" s="459">
        <v>0.62433504737794909</v>
      </c>
      <c r="AI31" s="459">
        <v>-1.2970174272640793E-4</v>
      </c>
      <c r="AJ31" s="459">
        <v>1.6957557642705861E-4</v>
      </c>
      <c r="AK31" s="459">
        <v>-1.2970174272640793E-4</v>
      </c>
      <c r="AL31" s="459">
        <v>1.6957557642705861E-4</v>
      </c>
    </row>
    <row r="32" spans="2:38" x14ac:dyDescent="0.15">
      <c r="B32" s="261" t="s">
        <v>500</v>
      </c>
      <c r="C32">
        <v>2.0299999999999998</v>
      </c>
      <c r="D32">
        <v>1.96</v>
      </c>
      <c r="E32">
        <v>1.98</v>
      </c>
      <c r="F32">
        <v>2.0099999999999998</v>
      </c>
      <c r="G32">
        <v>1.95</v>
      </c>
      <c r="H32">
        <v>1.98</v>
      </c>
      <c r="J32" s="506"/>
      <c r="K32" cm="1">
        <f t="array" ref="K32:M32">LINEST(N24:N28,L24:L28^{1,2})</f>
        <v>1.982651647666047E-4</v>
      </c>
      <c r="L32">
        <v>-4.6566930156152563E-2</v>
      </c>
      <c r="M32">
        <v>5.2404024541981418</v>
      </c>
    </row>
    <row r="33" spans="2:23" x14ac:dyDescent="0.15">
      <c r="B33" s="261" t="s">
        <v>479</v>
      </c>
      <c r="C33" s="107">
        <f>0.07098764*C30+0.4389249</f>
        <v>0.49571501200000001</v>
      </c>
      <c r="D33" s="107">
        <f t="shared" ref="D33:H33" si="10">0.07098764*D30+0.4389249</f>
        <v>0.50139402320000004</v>
      </c>
      <c r="E33" s="107">
        <f t="shared" si="10"/>
        <v>0.50707303440000007</v>
      </c>
      <c r="F33" s="107">
        <f t="shared" si="10"/>
        <v>0.51275204559999998</v>
      </c>
      <c r="G33" s="107">
        <f t="shared" si="10"/>
        <v>0.51843105680000001</v>
      </c>
      <c r="H33" s="107">
        <f t="shared" si="10"/>
        <v>0.52411006800000004</v>
      </c>
    </row>
    <row r="34" spans="2:23" x14ac:dyDescent="0.15">
      <c r="B34" s="261" t="s">
        <v>502</v>
      </c>
      <c r="C34" s="4">
        <f>1/C33</f>
        <v>2.0172881106937304</v>
      </c>
      <c r="D34" s="4">
        <f t="shared" ref="D34:H34" si="11">1/D33</f>
        <v>1.9944394103818666</v>
      </c>
      <c r="E34" s="4">
        <f t="shared" si="11"/>
        <v>1.9721025023215075</v>
      </c>
      <c r="F34" s="4">
        <f t="shared" si="11"/>
        <v>1.9502603813697978</v>
      </c>
      <c r="G34" s="4">
        <f t="shared" si="11"/>
        <v>1.9288967874966243</v>
      </c>
      <c r="H34" s="4">
        <f t="shared" si="11"/>
        <v>1.9079961654161544</v>
      </c>
    </row>
    <row r="35" spans="2:23" x14ac:dyDescent="0.15">
      <c r="B35" s="261" t="s">
        <v>482</v>
      </c>
      <c r="C35" s="136">
        <f>C31*$E$28</f>
        <v>17.808088824000002</v>
      </c>
      <c r="D35" s="136">
        <f t="shared" ref="D35:H35" si="12">D31*$E$28</f>
        <v>17.9519624064</v>
      </c>
      <c r="E35" s="136">
        <f t="shared" si="12"/>
        <v>18.095835988800001</v>
      </c>
      <c r="F35" s="136">
        <f t="shared" si="12"/>
        <v>18.239709571199999</v>
      </c>
      <c r="G35" s="136">
        <f t="shared" si="12"/>
        <v>18.3835831536</v>
      </c>
      <c r="H35" s="136">
        <f t="shared" si="12"/>
        <v>18.527456736000001</v>
      </c>
      <c r="J35" s="261" t="s">
        <v>570</v>
      </c>
    </row>
    <row r="36" spans="2:23" x14ac:dyDescent="0.15">
      <c r="B36" s="261" t="s">
        <v>483</v>
      </c>
      <c r="C36" s="417">
        <f>IF('Lys Calculator-kg'!$I$3="$/lb",IF('Lys Calculator-kg'!$G$3="Carcass Price",C35*0.75*('Lys Calculator-kg'!$H$3/0.453592),C35*('Lys Calculator-kg'!$H$3/0.453592)),IF('Lys Calculator-kg'!$G$3="Carcass Price",C35*0.75*('Lys Calculator-kg'!$H$3),C35*('Lys Calculator-kg'!$H$3)))</f>
        <v>19.366296596100003</v>
      </c>
      <c r="D36" s="417">
        <f>IF('Lys Calculator-kg'!$I$3="$/lb",IF('Lys Calculator-kg'!$G$3="Carcass Price",D35*0.75*('Lys Calculator-kg'!$H$3/0.453592),D35*('Lys Calculator-kg'!$H$3/0.453592)),IF('Lys Calculator-kg'!$G$3="Carcass Price",D35*0.75*('Lys Calculator-kg'!$H$3),D35*('Lys Calculator-kg'!$H$3)))</f>
        <v>19.52275911696</v>
      </c>
      <c r="E36" s="417">
        <f>IF('Lys Calculator-kg'!$I$3="$/lb",IF('Lys Calculator-kg'!$G$3="Carcass Price",E35*0.75*('Lys Calculator-kg'!$H$3/0.453592),E35*('Lys Calculator-kg'!$H$3/0.453592)),IF('Lys Calculator-kg'!$G$3="Carcass Price",E35*0.75*('Lys Calculator-kg'!$H$3),E35*('Lys Calculator-kg'!$H$3)))</f>
        <v>19.67922163782</v>
      </c>
      <c r="F36" s="417">
        <f>IF('Lys Calculator-kg'!$I$3="$/lb",IF('Lys Calculator-kg'!$G$3="Carcass Price",F35*0.75*('Lys Calculator-kg'!$H$3/0.453592),F35*('Lys Calculator-kg'!$H$3/0.453592)),IF('Lys Calculator-kg'!$G$3="Carcass Price",F35*0.75*('Lys Calculator-kg'!$H$3),F35*('Lys Calculator-kg'!$H$3)))</f>
        <v>19.835684158679999</v>
      </c>
      <c r="G36" s="417">
        <f>IF('Lys Calculator-kg'!$I$3="$/lb",IF('Lys Calculator-kg'!$G$3="Carcass Price",G35*0.75*('Lys Calculator-kg'!$H$3/0.453592),G35*('Lys Calculator-kg'!$H$3/0.453592)),IF('Lys Calculator-kg'!$G$3="Carcass Price",G35*0.75*('Lys Calculator-kg'!$H$3),G35*('Lys Calculator-kg'!$H$3)))</f>
        <v>19.992146679539999</v>
      </c>
      <c r="H36" s="417">
        <f>IF('Lys Calculator-kg'!$I$3="$/lb",IF('Lys Calculator-kg'!$G$3="Carcass Price",H35*0.75*('Lys Calculator-kg'!$H$3/0.453592),H35*('Lys Calculator-kg'!$H$3/0.453592)),IF('Lys Calculator-kg'!$G$3="Carcass Price",H35*0.75*('Lys Calculator-kg'!$H$3),H35*('Lys Calculator-kg'!$H$3)))</f>
        <v>20.148609200399999</v>
      </c>
      <c r="K36" s="261" t="s">
        <v>488</v>
      </c>
      <c r="L36" s="261" t="s">
        <v>506</v>
      </c>
    </row>
    <row r="37" spans="2:23" x14ac:dyDescent="0.15">
      <c r="B37" s="261" t="s">
        <v>484</v>
      </c>
      <c r="C37" s="454">
        <f>C34*C35</f>
        <v>35.924045858833097</v>
      </c>
      <c r="D37" s="454">
        <f t="shared" ref="D37:H37" si="13">D34*D35</f>
        <v>35.804101317017853</v>
      </c>
      <c r="E37" s="454">
        <f t="shared" si="13"/>
        <v>35.686843435112074</v>
      </c>
      <c r="F37" s="454">
        <f t="shared" si="13"/>
        <v>35.572182944402861</v>
      </c>
      <c r="G37" s="454">
        <f t="shared" si="13"/>
        <v>35.460034487656102</v>
      </c>
      <c r="H37" s="454">
        <f t="shared" si="13"/>
        <v>35.350316407201703</v>
      </c>
      <c r="J37" s="261" t="s">
        <v>533</v>
      </c>
      <c r="K37" s="417">
        <f>MAX(C24:H24)</f>
        <v>9.7945239580788943</v>
      </c>
      <c r="L37" s="457">
        <f>AVERAGE(C4:D4)</f>
        <v>29</v>
      </c>
    </row>
    <row r="38" spans="2:23" x14ac:dyDescent="0.15">
      <c r="B38" s="261" t="s">
        <v>485</v>
      </c>
      <c r="C38">
        <f>'GF diets '!I269/907</f>
        <v>0.34241893156268571</v>
      </c>
      <c r="D38">
        <f>'GF diets '!J269/907</f>
        <v>0.34843483145761012</v>
      </c>
      <c r="E38">
        <f>'GF diets '!K269/907</f>
        <v>0.3547625258212021</v>
      </c>
      <c r="F38">
        <f>'GF diets '!L269/907</f>
        <v>0.36005352124331136</v>
      </c>
      <c r="G38">
        <f>'GF diets '!M269/907</f>
        <v>0.36638121560690345</v>
      </c>
      <c r="H38">
        <f>'GF diets '!N269/907</f>
        <v>0.37237741641749877</v>
      </c>
      <c r="J38" s="261" t="s">
        <v>534</v>
      </c>
      <c r="K38" s="417">
        <f>MAX(C40:H40)</f>
        <v>7.06522319570945</v>
      </c>
      <c r="L38" s="457">
        <f>AVERAGE(C5:D5)</f>
        <v>45</v>
      </c>
    </row>
    <row r="39" spans="2:23" x14ac:dyDescent="0.15">
      <c r="B39" s="261" t="s">
        <v>486</v>
      </c>
      <c r="C39">
        <f>C37*C38</f>
        <v>12.301073400390553</v>
      </c>
      <c r="D39">
        <f t="shared" ref="D39:H39" si="14">D37*D38</f>
        <v>12.475396007886312</v>
      </c>
      <c r="E39">
        <f t="shared" si="14"/>
        <v>12.660354715626143</v>
      </c>
      <c r="F39">
        <f t="shared" si="14"/>
        <v>12.807889727443513</v>
      </c>
      <c r="G39">
        <f t="shared" si="14"/>
        <v>12.991890541050163</v>
      </c>
      <c r="H39">
        <f t="shared" si="14"/>
        <v>13.163659493254888</v>
      </c>
      <c r="J39" s="261" t="s">
        <v>535</v>
      </c>
      <c r="K39" s="417">
        <f>MAX(C56:H56)</f>
        <v>6.4421131352639449</v>
      </c>
      <c r="L39" s="457">
        <f t="shared" ref="L39:L41" si="15">AVERAGE(C6:D6)</f>
        <v>64</v>
      </c>
    </row>
    <row r="40" spans="2:23" x14ac:dyDescent="0.15">
      <c r="B40" s="261" t="s">
        <v>487</v>
      </c>
      <c r="C40" s="455">
        <f>C36-C39</f>
        <v>7.06522319570945</v>
      </c>
      <c r="D40" s="455">
        <f t="shared" ref="D40:H40" si="16">D36-D39</f>
        <v>7.0473631090736877</v>
      </c>
      <c r="E40" s="455">
        <f t="shared" si="16"/>
        <v>7.0188669221938564</v>
      </c>
      <c r="F40" s="455">
        <f t="shared" si="16"/>
        <v>7.0277944312364866</v>
      </c>
      <c r="G40" s="455">
        <f t="shared" si="16"/>
        <v>7.0002561384898367</v>
      </c>
      <c r="H40" s="455">
        <f t="shared" si="16"/>
        <v>6.9849497071451108</v>
      </c>
      <c r="J40" s="261" t="s">
        <v>536</v>
      </c>
      <c r="K40" s="417">
        <f>MAX(C72:I72)</f>
        <v>4.3363181925559005</v>
      </c>
      <c r="L40" s="457">
        <f t="shared" si="15"/>
        <v>88</v>
      </c>
    </row>
    <row r="41" spans="2:23" x14ac:dyDescent="0.15">
      <c r="B41" s="261" t="s">
        <v>501</v>
      </c>
      <c r="C41">
        <v>2.97</v>
      </c>
      <c r="D41">
        <v>3.25</v>
      </c>
      <c r="E41">
        <v>3.56</v>
      </c>
      <c r="F41">
        <v>3.85</v>
      </c>
      <c r="G41">
        <v>4.1399999999999997</v>
      </c>
      <c r="H41">
        <v>4.45</v>
      </c>
      <c r="J41" s="261" t="s">
        <v>537</v>
      </c>
      <c r="K41" s="417">
        <f>MAX(C88:H88)</f>
        <v>2.5440185882275799</v>
      </c>
      <c r="L41" s="457">
        <f t="shared" si="15"/>
        <v>115.5</v>
      </c>
    </row>
    <row r="43" spans="2:23" x14ac:dyDescent="0.15">
      <c r="J43" s="506" t="s">
        <v>540</v>
      </c>
    </row>
    <row r="44" spans="2:23" x14ac:dyDescent="0.15">
      <c r="B44" s="261" t="s">
        <v>503</v>
      </c>
      <c r="D44" s="261" t="s">
        <v>481</v>
      </c>
      <c r="E44">
        <v>21</v>
      </c>
      <c r="J44" s="506"/>
      <c r="K44" cm="1">
        <f t="array" ref="K44:M44">LINEST(K37:K41,L37:L41^{1,2})</f>
        <v>3.4243545944233805E-4</v>
      </c>
      <c r="L44">
        <v>-0.12836100387882279</v>
      </c>
      <c r="M44">
        <v>12.882689878013815</v>
      </c>
      <c r="W44" s="261"/>
    </row>
    <row r="46" spans="2:23" x14ac:dyDescent="0.15">
      <c r="C46" s="229">
        <v>0.65</v>
      </c>
      <c r="D46" s="229">
        <v>0.72</v>
      </c>
      <c r="E46" s="229">
        <v>0.79</v>
      </c>
      <c r="F46" s="229">
        <v>0.86</v>
      </c>
      <c r="G46" s="229">
        <v>0.92</v>
      </c>
      <c r="H46" s="456">
        <v>1</v>
      </c>
    </row>
    <row r="47" spans="2:23" x14ac:dyDescent="0.15">
      <c r="B47" s="261" t="s">
        <v>499</v>
      </c>
      <c r="C47" s="4">
        <f>0.334717*C46+0.7235286</f>
        <v>0.94109464999999992</v>
      </c>
      <c r="D47" s="4">
        <f t="shared" ref="D47:H47" si="17">0.334717*D46+0.7235286</f>
        <v>0.96452483999999994</v>
      </c>
      <c r="E47" s="4">
        <f t="shared" si="17"/>
        <v>0.98795502999999996</v>
      </c>
      <c r="F47" s="4">
        <f t="shared" si="17"/>
        <v>1.01138522</v>
      </c>
      <c r="G47" s="4">
        <f t="shared" si="17"/>
        <v>1.0314682399999999</v>
      </c>
      <c r="H47" s="4">
        <f t="shared" si="17"/>
        <v>1.0582456</v>
      </c>
      <c r="J47" s="261" t="s">
        <v>571</v>
      </c>
    </row>
    <row r="48" spans="2:23" x14ac:dyDescent="0.15">
      <c r="B48" s="261" t="s">
        <v>500</v>
      </c>
      <c r="C48">
        <v>2.42</v>
      </c>
      <c r="D48">
        <v>2.33</v>
      </c>
      <c r="E48" s="24">
        <v>2.33</v>
      </c>
      <c r="F48" s="24">
        <v>2.3199999999999998</v>
      </c>
      <c r="G48" s="24">
        <v>2.3199999999999998</v>
      </c>
      <c r="H48" s="24">
        <v>2.38</v>
      </c>
      <c r="K48" s="261" t="s">
        <v>572</v>
      </c>
      <c r="L48" s="261" t="s">
        <v>573</v>
      </c>
      <c r="M48" s="261" t="s">
        <v>506</v>
      </c>
    </row>
    <row r="49" spans="2:13" x14ac:dyDescent="0.15">
      <c r="B49" s="261" t="s">
        <v>479</v>
      </c>
      <c r="C49" s="107">
        <f>-0.4830938*(C46^2)+0.9555893*(C46)-0.027</f>
        <v>0.3900259144999999</v>
      </c>
      <c r="D49" s="107">
        <f t="shared" ref="D49:H49" si="18">-0.4830938*(D46^2)+0.9555893*(D46)-0.027</f>
        <v>0.41058847007999988</v>
      </c>
      <c r="E49" s="107">
        <f t="shared" si="18"/>
        <v>0.4264167064199999</v>
      </c>
      <c r="F49" s="107">
        <f t="shared" si="18"/>
        <v>0.43751062352000003</v>
      </c>
      <c r="G49" s="107">
        <f t="shared" si="18"/>
        <v>0.44325156367999996</v>
      </c>
      <c r="H49" s="107">
        <f t="shared" si="18"/>
        <v>0.44549549999999993</v>
      </c>
      <c r="J49" s="261" t="s">
        <v>533</v>
      </c>
      <c r="K49" s="4">
        <f>G14</f>
        <v>1.4</v>
      </c>
      <c r="L49">
        <f>HLOOKUP(K49,$C$14:$H$24,11,FALSE)</f>
        <v>9.5404865748530518</v>
      </c>
      <c r="M49">
        <f>AVERAGE(C4:D4)</f>
        <v>29</v>
      </c>
    </row>
    <row r="50" spans="2:13" x14ac:dyDescent="0.15">
      <c r="B50" s="261" t="s">
        <v>502</v>
      </c>
      <c r="C50" s="4">
        <f>1/C49</f>
        <v>2.563932197382234</v>
      </c>
      <c r="D50" s="4">
        <f t="shared" ref="D50:H50" si="19">1/D49</f>
        <v>2.435528693256189</v>
      </c>
      <c r="E50" s="4">
        <f t="shared" si="19"/>
        <v>2.3451238775223975</v>
      </c>
      <c r="F50" s="4">
        <f t="shared" si="19"/>
        <v>2.2856587845901455</v>
      </c>
      <c r="G50" s="4">
        <f t="shared" si="19"/>
        <v>2.2560552109454886</v>
      </c>
      <c r="H50" s="4">
        <f t="shared" si="19"/>
        <v>2.2446915849879518</v>
      </c>
      <c r="J50" s="261" t="s">
        <v>534</v>
      </c>
      <c r="K50">
        <f>H30</f>
        <v>1.2</v>
      </c>
      <c r="L50">
        <f>HLOOKUP(K50,$C$30:$H$40,11,FALSE)</f>
        <v>6.9849497071451108</v>
      </c>
      <c r="M50">
        <f>AVERAGE(C5:D5)</f>
        <v>45</v>
      </c>
    </row>
    <row r="51" spans="2:13" x14ac:dyDescent="0.15">
      <c r="B51" s="261" t="s">
        <v>482</v>
      </c>
      <c r="C51">
        <f>C47*$E$44</f>
        <v>19.762987649999999</v>
      </c>
      <c r="D51">
        <f t="shared" ref="D51:H51" si="20">D47*$E$44</f>
        <v>20.255021639999999</v>
      </c>
      <c r="E51">
        <f t="shared" si="20"/>
        <v>20.747055629999998</v>
      </c>
      <c r="F51">
        <f t="shared" si="20"/>
        <v>21.239089619999998</v>
      </c>
      <c r="G51">
        <f t="shared" si="20"/>
        <v>21.66083304</v>
      </c>
      <c r="H51">
        <f t="shared" si="20"/>
        <v>22.2231576</v>
      </c>
      <c r="J51" s="261" t="s">
        <v>535</v>
      </c>
      <c r="K51" s="4">
        <f>H46</f>
        <v>1</v>
      </c>
      <c r="L51">
        <f>HLOOKUP(K51,C46:H56,11,FALSE)</f>
        <v>6.3807981001920879</v>
      </c>
      <c r="M51">
        <f t="shared" ref="M51:M53" si="21">AVERAGE(C6:D6)</f>
        <v>64</v>
      </c>
    </row>
    <row r="52" spans="2:13" x14ac:dyDescent="0.15">
      <c r="B52" s="261" t="s">
        <v>483</v>
      </c>
      <c r="C52" s="417">
        <f>IF('Lys Calculator-kg'!$I$3="$/lb",IF('Lys Calculator-kg'!$G$3="Carcass Price",C51*0.75*('Lys Calculator-kg'!$H$3/0.453592),C51*('Lys Calculator-kg'!$H$3/0.453592)),IF('Lys Calculator-kg'!$G$3="Carcass Price",C51*0.75*('Lys Calculator-kg'!$H$3),C51*('Lys Calculator-kg'!$H$3)))</f>
        <v>21.492249069374999</v>
      </c>
      <c r="D52" s="417">
        <f>IF('Lys Calculator-kg'!$I$3="$/lb",IF('Lys Calculator-kg'!$G$3="Carcass Price",D51*0.75*('Lys Calculator-kg'!$H$3/0.453592),D51*('Lys Calculator-kg'!$H$3/0.453592)),IF('Lys Calculator-kg'!$G$3="Carcass Price",D51*0.75*('Lys Calculator-kg'!$H$3),D51*('Lys Calculator-kg'!$H$3)))</f>
        <v>22.027336033499999</v>
      </c>
      <c r="E52" s="417">
        <f>IF('Lys Calculator-kg'!$I$3="$/lb",IF('Lys Calculator-kg'!$G$3="Carcass Price",E51*0.75*('Lys Calculator-kg'!$H$3/0.453592),E51*('Lys Calculator-kg'!$H$3/0.453592)),IF('Lys Calculator-kg'!$G$3="Carcass Price",E51*0.75*('Lys Calculator-kg'!$H$3),E51*('Lys Calculator-kg'!$H$3)))</f>
        <v>22.562422997624999</v>
      </c>
      <c r="F52" s="417">
        <f>IF('Lys Calculator-kg'!$I$3="$/lb",IF('Lys Calculator-kg'!$G$3="Carcass Price",F51*0.75*('Lys Calculator-kg'!$H$3/0.453592),F51*('Lys Calculator-kg'!$H$3/0.453592)),IF('Lys Calculator-kg'!$G$3="Carcass Price",F51*0.75*('Lys Calculator-kg'!$H$3),F51*('Lys Calculator-kg'!$H$3)))</f>
        <v>23.097509961749996</v>
      </c>
      <c r="G52" s="417">
        <f>IF('Lys Calculator-kg'!$I$3="$/lb",IF('Lys Calculator-kg'!$G$3="Carcass Price",G51*0.75*('Lys Calculator-kg'!$H$3/0.453592),G51*('Lys Calculator-kg'!$H$3/0.453592)),IF('Lys Calculator-kg'!$G$3="Carcass Price",G51*0.75*('Lys Calculator-kg'!$H$3),G51*('Lys Calculator-kg'!$H$3)))</f>
        <v>23.556155930999999</v>
      </c>
      <c r="H52" s="417">
        <f>IF('Lys Calculator-kg'!$I$3="$/lb",IF('Lys Calculator-kg'!$G$3="Carcass Price",H51*0.75*('Lys Calculator-kg'!$H$3/0.453592),H51*('Lys Calculator-kg'!$H$3/0.453592)),IF('Lys Calculator-kg'!$G$3="Carcass Price",H51*0.75*('Lys Calculator-kg'!$H$3),H51*('Lys Calculator-kg'!$H$3)))</f>
        <v>24.167683889999996</v>
      </c>
      <c r="J52" s="261" t="s">
        <v>536</v>
      </c>
      <c r="K52">
        <f>G62</f>
        <v>0.86</v>
      </c>
      <c r="L52">
        <f>HLOOKUP(K52,C62:I72,11,FALSE)</f>
        <v>4.2072125690183917</v>
      </c>
      <c r="M52">
        <f t="shared" si="21"/>
        <v>88</v>
      </c>
    </row>
    <row r="53" spans="2:13" x14ac:dyDescent="0.15">
      <c r="B53" s="261" t="s">
        <v>484</v>
      </c>
      <c r="C53">
        <f>C50*C51</f>
        <v>50.670960352302451</v>
      </c>
      <c r="D53">
        <f t="shared" ref="D53:H53" si="22">D50*D51</f>
        <v>49.331686386745027</v>
      </c>
      <c r="E53">
        <f t="shared" si="22"/>
        <v>48.654415546198486</v>
      </c>
      <c r="F53">
        <f t="shared" si="22"/>
        <v>48.545311766650372</v>
      </c>
      <c r="G53">
        <f t="shared" si="22"/>
        <v>48.868035253312208</v>
      </c>
      <c r="H53">
        <f t="shared" si="22"/>
        <v>49.884134856581049</v>
      </c>
      <c r="J53" s="261" t="s">
        <v>537</v>
      </c>
      <c r="K53">
        <f>F78</f>
        <v>0.64</v>
      </c>
      <c r="L53">
        <f>HLOOKUP(K53,C78:H88,11,FALSE)</f>
        <v>2.5440185882275799</v>
      </c>
      <c r="M53">
        <f t="shared" si="21"/>
        <v>115.5</v>
      </c>
    </row>
    <row r="54" spans="2:13" x14ac:dyDescent="0.15">
      <c r="B54" s="261" t="s">
        <v>485</v>
      </c>
      <c r="C54">
        <f>'GF diets '!P269/907</f>
        <v>0.32834801274563619</v>
      </c>
      <c r="D54">
        <f>'GF diets '!Q269/907</f>
        <v>0.3338095215365412</v>
      </c>
      <c r="E54">
        <f>'GF diets '!R269/907</f>
        <v>0.33971426338000194</v>
      </c>
      <c r="F54">
        <f>'GF diets '!S269/907</f>
        <v>0.34517577217090689</v>
      </c>
      <c r="G54">
        <f>'GF diets '!T269/907</f>
        <v>0.35020934864730596</v>
      </c>
      <c r="H54">
        <f>'GF diets '!U269/907</f>
        <v>0.35656398253564869</v>
      </c>
    </row>
    <row r="55" spans="2:13" x14ac:dyDescent="0.15">
      <c r="B55" s="261" t="s">
        <v>486</v>
      </c>
      <c r="C55">
        <f>C53*C54</f>
        <v>16.637709135591432</v>
      </c>
      <c r="D55">
        <f t="shared" ref="D55:H55" si="23">D53*D54</f>
        <v>16.467386629350059</v>
      </c>
      <c r="E55">
        <f t="shared" si="23"/>
        <v>16.528598937461332</v>
      </c>
      <c r="F55">
        <f t="shared" si="23"/>
        <v>16.756665474330955</v>
      </c>
      <c r="G55">
        <f t="shared" si="23"/>
        <v>17.114042795736054</v>
      </c>
      <c r="H55">
        <f t="shared" si="23"/>
        <v>17.786885789807908</v>
      </c>
      <c r="J55" s="506" t="s">
        <v>540</v>
      </c>
    </row>
    <row r="56" spans="2:13" x14ac:dyDescent="0.15">
      <c r="B56" s="261" t="s">
        <v>487</v>
      </c>
      <c r="C56" s="417">
        <f>C52-C55</f>
        <v>4.8545399337835669</v>
      </c>
      <c r="D56" s="417">
        <f t="shared" ref="D56:H56" si="24">D52-D55</f>
        <v>5.5599494041499398</v>
      </c>
      <c r="E56" s="417">
        <f t="shared" si="24"/>
        <v>6.033824060163667</v>
      </c>
      <c r="F56" s="417">
        <f t="shared" si="24"/>
        <v>6.3408444874190408</v>
      </c>
      <c r="G56" s="417">
        <f t="shared" si="24"/>
        <v>6.4421131352639449</v>
      </c>
      <c r="H56" s="417">
        <f t="shared" si="24"/>
        <v>6.3807981001920879</v>
      </c>
      <c r="J56" s="506"/>
      <c r="K56" cm="1">
        <f t="array" ref="K56:M56">LINEST(L49:L53,M49:M53^{1,2})</f>
        <v>3.1866616642923156E-4</v>
      </c>
      <c r="L56">
        <v>-0.12288823790592592</v>
      </c>
      <c r="M56">
        <v>12.537281562818816</v>
      </c>
    </row>
    <row r="57" spans="2:13" x14ac:dyDescent="0.15">
      <c r="B57" s="261" t="s">
        <v>501</v>
      </c>
      <c r="C57">
        <v>2.42</v>
      </c>
      <c r="D57">
        <v>2.66</v>
      </c>
      <c r="E57">
        <v>2.92</v>
      </c>
      <c r="F57">
        <v>3.18</v>
      </c>
      <c r="G57">
        <v>3.44</v>
      </c>
      <c r="H57">
        <v>3.72</v>
      </c>
    </row>
    <row r="60" spans="2:13" x14ac:dyDescent="0.15">
      <c r="B60" s="261" t="s">
        <v>504</v>
      </c>
      <c r="D60" s="261" t="s">
        <v>481</v>
      </c>
      <c r="E60">
        <v>21</v>
      </c>
    </row>
    <row r="62" spans="2:13" x14ac:dyDescent="0.15">
      <c r="C62" s="229">
        <v>0.57999999999999996</v>
      </c>
      <c r="D62" s="229">
        <v>0.65</v>
      </c>
      <c r="E62" s="229">
        <v>0.72</v>
      </c>
      <c r="F62" s="229">
        <v>0.79</v>
      </c>
      <c r="G62" s="229">
        <v>0.86</v>
      </c>
      <c r="H62" s="229">
        <v>0.92</v>
      </c>
      <c r="I62" s="456">
        <v>1</v>
      </c>
      <c r="J62" s="216"/>
    </row>
    <row r="63" spans="2:13" x14ac:dyDescent="0.15">
      <c r="B63" s="261" t="s">
        <v>499</v>
      </c>
      <c r="C63" s="4">
        <f>IF(C62&gt;=0.83261,1.09687,0.20981*C62+0.922180096)</f>
        <v>1.0438698959999999</v>
      </c>
      <c r="D63" s="4">
        <f t="shared" ref="D63:I63" si="25">IF(D62&gt;=0.83261,1.09687,0.20981*D62+0.922180096)</f>
        <v>1.0585565959999998</v>
      </c>
      <c r="E63" s="4">
        <f t="shared" si="25"/>
        <v>1.073243296</v>
      </c>
      <c r="F63" s="4">
        <f t="shared" si="25"/>
        <v>1.087929996</v>
      </c>
      <c r="G63" s="4">
        <f t="shared" si="25"/>
        <v>1.09687</v>
      </c>
      <c r="H63" s="4">
        <f t="shared" si="25"/>
        <v>1.09687</v>
      </c>
      <c r="I63" s="4">
        <f t="shared" si="25"/>
        <v>1.09687</v>
      </c>
    </row>
    <row r="64" spans="2:13" x14ac:dyDescent="0.15">
      <c r="B64" s="261" t="s">
        <v>500</v>
      </c>
      <c r="C64" s="261">
        <v>2.94</v>
      </c>
      <c r="D64">
        <v>2.92</v>
      </c>
      <c r="E64">
        <v>2.89</v>
      </c>
      <c r="F64">
        <v>2.88</v>
      </c>
      <c r="G64">
        <v>2.86</v>
      </c>
      <c r="H64">
        <v>2.89</v>
      </c>
      <c r="I64">
        <v>2.88</v>
      </c>
    </row>
    <row r="65" spans="2:9" x14ac:dyDescent="0.15">
      <c r="B65" s="261" t="s">
        <v>479</v>
      </c>
      <c r="C65" s="481">
        <f>-0.2244707*(C62^2)+0.4156878*(C62)+0.19</f>
        <v>0.35558698051999998</v>
      </c>
      <c r="D65" s="481">
        <f t="shared" ref="D65:I65" si="26">-0.2244707*(D62^2)+0.4156878*(D62)+0.19</f>
        <v>0.36535819924999996</v>
      </c>
      <c r="E65" s="481">
        <f t="shared" si="26"/>
        <v>0.37292960511999995</v>
      </c>
      <c r="F65" s="481">
        <f t="shared" si="26"/>
        <v>0.37830119813000002</v>
      </c>
      <c r="G65" s="481">
        <f t="shared" si="26"/>
        <v>0.38147297828000004</v>
      </c>
      <c r="H65" s="481">
        <f t="shared" si="26"/>
        <v>0.38244077552</v>
      </c>
      <c r="I65" s="481">
        <f t="shared" si="26"/>
        <v>0.38121709999999998</v>
      </c>
    </row>
    <row r="66" spans="2:9" x14ac:dyDescent="0.15">
      <c r="B66" s="261" t="s">
        <v>502</v>
      </c>
      <c r="C66" s="4">
        <f>1/C65</f>
        <v>2.8122514455890069</v>
      </c>
      <c r="D66" s="4">
        <f t="shared" ref="D66:I66" si="27">1/D65</f>
        <v>2.7370399844666964</v>
      </c>
      <c r="E66" s="4">
        <f t="shared" si="27"/>
        <v>2.6814712113784145</v>
      </c>
      <c r="F66" s="4">
        <f t="shared" si="27"/>
        <v>2.6433963332475581</v>
      </c>
      <c r="G66" s="4">
        <f t="shared" si="27"/>
        <v>2.621417654557967</v>
      </c>
      <c r="H66" s="4">
        <f t="shared" si="27"/>
        <v>2.6147839456718818</v>
      </c>
      <c r="I66" s="4">
        <f t="shared" si="27"/>
        <v>2.6231771869624949</v>
      </c>
    </row>
    <row r="67" spans="2:9" x14ac:dyDescent="0.15">
      <c r="B67" s="261" t="s">
        <v>482</v>
      </c>
      <c r="C67">
        <f>C63*$E$60</f>
        <v>21.921267815999997</v>
      </c>
      <c r="D67">
        <f t="shared" ref="D67:I67" si="28">D63*$E$60</f>
        <v>22.229688515999996</v>
      </c>
      <c r="E67">
        <f t="shared" si="28"/>
        <v>22.538109215999999</v>
      </c>
      <c r="F67">
        <f t="shared" si="28"/>
        <v>22.846529915999998</v>
      </c>
      <c r="G67">
        <f t="shared" si="28"/>
        <v>23.034269999999999</v>
      </c>
      <c r="H67">
        <f t="shared" si="28"/>
        <v>23.034269999999999</v>
      </c>
      <c r="I67">
        <f t="shared" si="28"/>
        <v>23.034269999999999</v>
      </c>
    </row>
    <row r="68" spans="2:9" x14ac:dyDescent="0.15">
      <c r="B68" s="261" t="s">
        <v>483</v>
      </c>
      <c r="C68" s="417">
        <f>IF('Lys Calculator-kg'!$I$3="$/lb",IF('Lys Calculator-kg'!$G$3="Carcass Price",C67*0.75*('Lys Calculator-kg'!$H$3/0.453592),C67*('Lys Calculator-kg'!$H$3/0.453592)),IF('Lys Calculator-kg'!$G$3="Carcass Price",C67*0.75*('Lys Calculator-kg'!$H$3),C67*('Lys Calculator-kg'!$H$3)))</f>
        <v>23.839378749899996</v>
      </c>
      <c r="D68" s="417">
        <f>IF('Lys Calculator-kg'!$I$3="$/lb",IF('Lys Calculator-kg'!$G$3="Carcass Price",D67*0.75*('Lys Calculator-kg'!$H$3/0.453592),D67*('Lys Calculator-kg'!$H$3/0.453592)),IF('Lys Calculator-kg'!$G$3="Carcass Price",D67*0.75*('Lys Calculator-kg'!$H$3),D67*('Lys Calculator-kg'!$H$3)))</f>
        <v>24.174786261149993</v>
      </c>
      <c r="E68" s="417">
        <f>IF('Lys Calculator-kg'!$I$3="$/lb",IF('Lys Calculator-kg'!$G$3="Carcass Price",E67*0.75*('Lys Calculator-kg'!$H$3/0.453592),E67*('Lys Calculator-kg'!$H$3/0.453592)),IF('Lys Calculator-kg'!$G$3="Carcass Price",E67*0.75*('Lys Calculator-kg'!$H$3),E67*('Lys Calculator-kg'!$H$3)))</f>
        <v>24.510193772399997</v>
      </c>
      <c r="F68" s="417">
        <f>IF('Lys Calculator-kg'!$I$3="$/lb",IF('Lys Calculator-kg'!$G$3="Carcass Price",F67*0.75*('Lys Calculator-kg'!$H$3/0.453592),F67*('Lys Calculator-kg'!$H$3/0.453592)),IF('Lys Calculator-kg'!$G$3="Carcass Price",F67*0.75*('Lys Calculator-kg'!$H$3),F67*('Lys Calculator-kg'!$H$3)))</f>
        <v>24.845601283649998</v>
      </c>
      <c r="G68" s="417">
        <f>IF('Lys Calculator-kg'!$I$3="$/lb",IF('Lys Calculator-kg'!$G$3="Carcass Price",G67*0.75*('Lys Calculator-kg'!$H$3/0.453592),G67*('Lys Calculator-kg'!$H$3/0.453592)),IF('Lys Calculator-kg'!$G$3="Carcass Price",G67*0.75*('Lys Calculator-kg'!$H$3),G67*('Lys Calculator-kg'!$H$3)))</f>
        <v>25.049768625000002</v>
      </c>
      <c r="H68" s="417">
        <f>IF('Lys Calculator-kg'!$I$3="$/lb",IF('Lys Calculator-kg'!$G$3="Carcass Price",H67*0.75*('Lys Calculator-kg'!$H$3/0.453592),H67*('Lys Calculator-kg'!$H$3/0.453592)),IF('Lys Calculator-kg'!$G$3="Carcass Price",H67*0.75*('Lys Calculator-kg'!$H$3),H67*('Lys Calculator-kg'!$H$3)))</f>
        <v>25.049768625000002</v>
      </c>
      <c r="I68" s="417">
        <f>IF('Lys Calculator-kg'!$I$3="$/lb",IF('Lys Calculator-kg'!$G$3="Carcass Price",I67*0.75*('Lys Calculator-kg'!$H$3/0.453592),I67*('Lys Calculator-kg'!$H$3/0.453592)),IF('Lys Calculator-kg'!$G$3="Carcass Price",I67*0.75*('Lys Calculator-kg'!$H$3),I67*('Lys Calculator-kg'!$H$3)))</f>
        <v>25.049768625000002</v>
      </c>
    </row>
    <row r="69" spans="2:9" x14ac:dyDescent="0.15">
      <c r="B69" s="261" t="s">
        <v>484</v>
      </c>
      <c r="C69">
        <f>C66*C67</f>
        <v>61.64811710468976</v>
      </c>
      <c r="D69">
        <f t="shared" ref="D69:I69" si="29">D66*D67</f>
        <v>60.843546310532126</v>
      </c>
      <c r="E69">
        <f t="shared" si="29"/>
        <v>60.435291021606524</v>
      </c>
      <c r="F69">
        <f t="shared" si="29"/>
        <v>60.392433407385035</v>
      </c>
      <c r="G69">
        <f t="shared" si="29"/>
        <v>60.382442037854943</v>
      </c>
      <c r="H69">
        <f t="shared" si="29"/>
        <v>60.229639396271452</v>
      </c>
      <c r="I69">
        <f t="shared" si="29"/>
        <v>60.422971582334583</v>
      </c>
    </row>
    <row r="70" spans="2:9" x14ac:dyDescent="0.15">
      <c r="B70" s="261" t="s">
        <v>485</v>
      </c>
      <c r="C70">
        <f>'GF diets '!W269/907</f>
        <v>0.32277769663389339</v>
      </c>
      <c r="D70">
        <f>'GF diets '!X269/907</f>
        <v>0.32834801274563619</v>
      </c>
      <c r="E70">
        <f>'GF diets '!Y269/907</f>
        <v>0.3338095215365412</v>
      </c>
      <c r="F70">
        <f>'GF diets '!Z269/907</f>
        <v>0.33971426338000194</v>
      </c>
      <c r="G70">
        <f>'GF diets '!AA269/907</f>
        <v>0.34517577217090689</v>
      </c>
      <c r="H70">
        <f>'GF diets '!AB269/907</f>
        <v>0.35020934864730596</v>
      </c>
      <c r="I70">
        <f>'GF diets '!AC269/907</f>
        <v>0.35656398253564869</v>
      </c>
    </row>
    <row r="71" spans="2:9" x14ac:dyDescent="0.15">
      <c r="B71" s="261" t="s">
        <v>486</v>
      </c>
      <c r="C71">
        <f>C69*C70</f>
        <v>19.898637240868286</v>
      </c>
      <c r="D71">
        <f t="shared" ref="D71:I71" si="30">D69*D70</f>
        <v>19.977857519460308</v>
      </c>
      <c r="E71">
        <f t="shared" si="30"/>
        <v>20.173875579844097</v>
      </c>
      <c r="F71">
        <f t="shared" si="30"/>
        <v>20.516171028715629</v>
      </c>
      <c r="G71">
        <f t="shared" si="30"/>
        <v>20.842556055981611</v>
      </c>
      <c r="H71">
        <f t="shared" si="30"/>
        <v>21.092982782230344</v>
      </c>
      <c r="I71">
        <f t="shared" si="30"/>
        <v>21.544655384035547</v>
      </c>
    </row>
    <row r="72" spans="2:9" x14ac:dyDescent="0.15">
      <c r="B72" s="261" t="s">
        <v>487</v>
      </c>
      <c r="C72" s="417">
        <f>C68-C71</f>
        <v>3.9407415090317102</v>
      </c>
      <c r="D72" s="417">
        <f t="shared" ref="D72:I72" si="31">D68-D71</f>
        <v>4.1969287416896854</v>
      </c>
      <c r="E72" s="417">
        <f t="shared" si="31"/>
        <v>4.3363181925559005</v>
      </c>
      <c r="F72" s="417">
        <f t="shared" si="31"/>
        <v>4.3294302549343691</v>
      </c>
      <c r="G72" s="417">
        <f t="shared" si="31"/>
        <v>4.2072125690183917</v>
      </c>
      <c r="H72" s="417">
        <f t="shared" si="31"/>
        <v>3.9567858427696585</v>
      </c>
      <c r="I72" s="417">
        <f t="shared" si="31"/>
        <v>3.5051132409644552</v>
      </c>
    </row>
    <row r="73" spans="2:9" x14ac:dyDescent="0.15">
      <c r="B73" s="261" t="s">
        <v>501</v>
      </c>
      <c r="C73">
        <v>2.13</v>
      </c>
      <c r="D73">
        <v>2.41</v>
      </c>
      <c r="E73">
        <v>2.67</v>
      </c>
      <c r="F73">
        <v>2.93</v>
      </c>
      <c r="G73">
        <v>3.18</v>
      </c>
      <c r="H73">
        <v>3.44</v>
      </c>
      <c r="I73">
        <v>3.69</v>
      </c>
    </row>
    <row r="76" spans="2:9" x14ac:dyDescent="0.15">
      <c r="B76" s="261" t="s">
        <v>505</v>
      </c>
      <c r="D76" s="261" t="s">
        <v>481</v>
      </c>
      <c r="E76">
        <v>25</v>
      </c>
    </row>
    <row r="78" spans="2:9" x14ac:dyDescent="0.15">
      <c r="C78" s="229">
        <v>0.43</v>
      </c>
      <c r="D78" s="456">
        <v>0.5</v>
      </c>
      <c r="E78" s="229">
        <v>0.56999999999999995</v>
      </c>
      <c r="F78" s="229">
        <v>0.64</v>
      </c>
      <c r="G78" s="229">
        <v>0.71</v>
      </c>
      <c r="H78" s="229">
        <v>0.78</v>
      </c>
    </row>
    <row r="79" spans="2:9" x14ac:dyDescent="0.15">
      <c r="B79" s="261" t="s">
        <v>499</v>
      </c>
      <c r="C79" s="4">
        <f>IF(C78&gt;=0.64,0.97527,0.30847*C78+0.777830692)</f>
        <v>0.91047279199999998</v>
      </c>
      <c r="D79" s="4">
        <f t="shared" ref="D79:H79" si="32">IF(D78&gt;=0.64,0.97527,0.30847*D78+0.777830692)</f>
        <v>0.932065692</v>
      </c>
      <c r="E79" s="4">
        <f t="shared" si="32"/>
        <v>0.95365859200000003</v>
      </c>
      <c r="F79" s="4">
        <f t="shared" si="32"/>
        <v>0.97526999999999997</v>
      </c>
      <c r="G79" s="4">
        <f t="shared" si="32"/>
        <v>0.97526999999999997</v>
      </c>
      <c r="H79" s="4">
        <f t="shared" si="32"/>
        <v>0.97526999999999997</v>
      </c>
    </row>
    <row r="80" spans="2:9" x14ac:dyDescent="0.15">
      <c r="B80" s="261" t="s">
        <v>500</v>
      </c>
      <c r="C80">
        <v>3.01</v>
      </c>
      <c r="D80">
        <v>3.01</v>
      </c>
      <c r="E80">
        <v>2.9</v>
      </c>
      <c r="F80">
        <v>2.96</v>
      </c>
      <c r="G80">
        <v>2.98</v>
      </c>
      <c r="H80">
        <v>2.89</v>
      </c>
    </row>
    <row r="81" spans="2:8" x14ac:dyDescent="0.15">
      <c r="B81" s="261" t="s">
        <v>479</v>
      </c>
      <c r="C81" s="107">
        <f>IF(C78&gt;=0.597631,0.331302,0.184102*C78+0.221276938)</f>
        <v>0.30044079800000001</v>
      </c>
      <c r="D81" s="107">
        <f t="shared" ref="D81:H81" si="33">IF(D78&gt;=0.597631,0.331302,0.184102*D78+0.221276938)</f>
        <v>0.31332793800000003</v>
      </c>
      <c r="E81" s="107">
        <f t="shared" si="33"/>
        <v>0.32621507799999999</v>
      </c>
      <c r="F81" s="107">
        <f t="shared" si="33"/>
        <v>0.33130199999999999</v>
      </c>
      <c r="G81" s="107">
        <f t="shared" si="33"/>
        <v>0.33130199999999999</v>
      </c>
      <c r="H81" s="107">
        <f t="shared" si="33"/>
        <v>0.33130199999999999</v>
      </c>
    </row>
    <row r="82" spans="2:8" x14ac:dyDescent="0.15">
      <c r="B82" s="261" t="s">
        <v>502</v>
      </c>
      <c r="C82" s="4">
        <f>1/C81</f>
        <v>3.3284427636222693</v>
      </c>
      <c r="D82" s="4">
        <f t="shared" ref="D82:H82" si="34">1/D81</f>
        <v>3.1915443173790647</v>
      </c>
      <c r="E82" s="4">
        <f t="shared" si="34"/>
        <v>3.0654622285730153</v>
      </c>
      <c r="F82" s="4">
        <f t="shared" si="34"/>
        <v>3.018394093606438</v>
      </c>
      <c r="G82" s="4">
        <f t="shared" si="34"/>
        <v>3.018394093606438</v>
      </c>
      <c r="H82" s="4">
        <f t="shared" si="34"/>
        <v>3.018394093606438</v>
      </c>
    </row>
    <row r="83" spans="2:8" x14ac:dyDescent="0.15">
      <c r="B83" s="261" t="s">
        <v>482</v>
      </c>
      <c r="C83">
        <f>C79*$E$76</f>
        <v>22.761819799999998</v>
      </c>
      <c r="D83">
        <f t="shared" ref="D83:H83" si="35">D79*$E$76</f>
        <v>23.301642300000001</v>
      </c>
      <c r="E83">
        <f t="shared" si="35"/>
        <v>23.841464800000001</v>
      </c>
      <c r="F83">
        <f t="shared" si="35"/>
        <v>24.38175</v>
      </c>
      <c r="G83">
        <f t="shared" si="35"/>
        <v>24.38175</v>
      </c>
      <c r="H83">
        <f t="shared" si="35"/>
        <v>24.38175</v>
      </c>
    </row>
    <row r="84" spans="2:8" x14ac:dyDescent="0.15">
      <c r="B84" s="261" t="s">
        <v>483</v>
      </c>
      <c r="C84" s="417">
        <f>IF('Lys Calculator-kg'!$I$3="$/lb",IF('Lys Calculator-kg'!$G$3="Carcass Price",C83*0.75*('Lys Calculator-kg'!$H$3/0.453592),C83*('Lys Calculator-kg'!$H$3/0.453592)),IF('Lys Calculator-kg'!$G$3="Carcass Price",C83*0.75*('Lys Calculator-kg'!$H$3),C83*('Lys Calculator-kg'!$H$3)))</f>
        <v>24.753479032499996</v>
      </c>
      <c r="D84" s="417">
        <f>IF('Lys Calculator-kg'!$I$3="$/lb",IF('Lys Calculator-kg'!$G$3="Carcass Price",D83*0.75*('Lys Calculator-kg'!$H$3/0.453592),D83*('Lys Calculator-kg'!$H$3/0.453592)),IF('Lys Calculator-kg'!$G$3="Carcass Price",D83*0.75*('Lys Calculator-kg'!$H$3),D83*('Lys Calculator-kg'!$H$3)))</f>
        <v>25.340536001250001</v>
      </c>
      <c r="E84" s="417">
        <f>IF('Lys Calculator-kg'!$I$3="$/lb",IF('Lys Calculator-kg'!$G$3="Carcass Price",E83*0.75*('Lys Calculator-kg'!$H$3/0.453592),E83*('Lys Calculator-kg'!$H$3/0.453592)),IF('Lys Calculator-kg'!$G$3="Carcass Price",E83*0.75*('Lys Calculator-kg'!$H$3),E83*('Lys Calculator-kg'!$H$3)))</f>
        <v>25.927592970000003</v>
      </c>
      <c r="F84" s="417">
        <f>IF('Lys Calculator-kg'!$I$3="$/lb",IF('Lys Calculator-kg'!$G$3="Carcass Price",F83*0.75*('Lys Calculator-kg'!$H$3/0.453592),F83*('Lys Calculator-kg'!$H$3/0.453592)),IF('Lys Calculator-kg'!$G$3="Carcass Price",F83*0.75*('Lys Calculator-kg'!$H$3),F83*('Lys Calculator-kg'!$H$3)))</f>
        <v>26.515153125000001</v>
      </c>
      <c r="G84" s="417">
        <f>IF('Lys Calculator-kg'!$I$3="$/lb",IF('Lys Calculator-kg'!$G$3="Carcass Price",G83*0.75*('Lys Calculator-kg'!$H$3/0.453592),G83*('Lys Calculator-kg'!$H$3/0.453592)),IF('Lys Calculator-kg'!$G$3="Carcass Price",G83*0.75*('Lys Calculator-kg'!$H$3),G83*('Lys Calculator-kg'!$H$3)))</f>
        <v>26.515153125000001</v>
      </c>
      <c r="H84" s="417">
        <f>IF('Lys Calculator-kg'!$I$3="$/lb",IF('Lys Calculator-kg'!$G$3="Carcass Price",H83*0.75*('Lys Calculator-kg'!$H$3/0.453592),H83*('Lys Calculator-kg'!$H$3/0.453592)),IF('Lys Calculator-kg'!$G$3="Carcass Price",H83*0.75*('Lys Calculator-kg'!$H$3),H83*('Lys Calculator-kg'!$H$3)))</f>
        <v>26.515153125000001</v>
      </c>
    </row>
    <row r="85" spans="2:8" x14ac:dyDescent="0.15">
      <c r="B85" s="261" t="s">
        <v>484</v>
      </c>
      <c r="C85">
        <f>C82*C83</f>
        <v>75.76141440018408</v>
      </c>
      <c r="D85">
        <f t="shared" ref="D85:H85" si="36">D82*D83</f>
        <v>74.36822406816465</v>
      </c>
      <c r="E85">
        <f t="shared" si="36"/>
        <v>73.085109818253102</v>
      </c>
      <c r="F85">
        <f t="shared" si="36"/>
        <v>73.593730191788765</v>
      </c>
      <c r="G85">
        <f t="shared" si="36"/>
        <v>73.593730191788765</v>
      </c>
      <c r="H85">
        <f t="shared" si="36"/>
        <v>73.593730191788765</v>
      </c>
    </row>
    <row r="86" spans="2:8" x14ac:dyDescent="0.15">
      <c r="B86" s="261" t="s">
        <v>485</v>
      </c>
      <c r="C86">
        <f>'GF diets '!AE269/907</f>
        <v>0.30995175561749072</v>
      </c>
      <c r="D86">
        <f>'GF diets '!AF269/907</f>
        <v>0.31520867382851636</v>
      </c>
      <c r="E86">
        <f>'GF diets '!AG269/907</f>
        <v>0.320465592039542</v>
      </c>
      <c r="F86">
        <f>'GF diets '!AH269/907</f>
        <v>0.32572251025056759</v>
      </c>
      <c r="G86">
        <f>'GF diets '!AI269/907</f>
        <v>0.33097942846159334</v>
      </c>
      <c r="H86">
        <f>'GF diets '!AJ269/907</f>
        <v>0.33691153396282136</v>
      </c>
    </row>
    <row r="87" spans="2:8" x14ac:dyDescent="0.15">
      <c r="B87" s="261" t="s">
        <v>486</v>
      </c>
      <c r="C87">
        <f>C85*C86</f>
        <v>23.482383401401297</v>
      </c>
      <c r="D87">
        <f t="shared" ref="D87:H87" si="37">D85*D86</f>
        <v>23.441509283508132</v>
      </c>
      <c r="E87">
        <f t="shared" si="37"/>
        <v>23.421262987181425</v>
      </c>
      <c r="F87">
        <f t="shared" si="37"/>
        <v>23.971134536772421</v>
      </c>
      <c r="G87">
        <f t="shared" si="37"/>
        <v>24.35801075723495</v>
      </c>
      <c r="H87">
        <f t="shared" si="37"/>
        <v>24.794576528961553</v>
      </c>
    </row>
    <row r="88" spans="2:8" x14ac:dyDescent="0.15">
      <c r="B88" s="261" t="s">
        <v>487</v>
      </c>
      <c r="C88" s="417">
        <f>C84-C87</f>
        <v>1.2710956310986994</v>
      </c>
      <c r="D88" s="417">
        <f t="shared" ref="D88:H88" si="38">D84-D87</f>
        <v>1.8990267177418687</v>
      </c>
      <c r="E88" s="417">
        <f t="shared" si="38"/>
        <v>2.5063299828185777</v>
      </c>
      <c r="F88" s="417">
        <f t="shared" si="38"/>
        <v>2.5440185882275799</v>
      </c>
      <c r="G88" s="417">
        <f t="shared" si="38"/>
        <v>2.1571423677650507</v>
      </c>
      <c r="H88" s="417">
        <f t="shared" si="38"/>
        <v>1.7205765960384483</v>
      </c>
    </row>
    <row r="89" spans="2:8" x14ac:dyDescent="0.15">
      <c r="B89" s="261" t="s">
        <v>501</v>
      </c>
      <c r="C89">
        <v>1.66</v>
      </c>
      <c r="D89">
        <v>1.94</v>
      </c>
      <c r="E89">
        <v>2.21</v>
      </c>
      <c r="F89">
        <v>2.4700000000000002</v>
      </c>
      <c r="G89">
        <v>2.75</v>
      </c>
      <c r="H89">
        <v>3.04</v>
      </c>
    </row>
  </sheetData>
  <mergeCells count="3">
    <mergeCell ref="J31:J32"/>
    <mergeCell ref="J43:J44"/>
    <mergeCell ref="J55:J56"/>
  </mergeCells>
  <phoneticPr fontId="37" type="noConversion"/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Lys Calculator-kg</vt:lpstr>
      <vt:lpstr>Nutrients</vt:lpstr>
      <vt:lpstr>GF diets </vt:lpstr>
      <vt:lpstr>Lys Curve</vt:lpstr>
      <vt:lpstr>IOFC Calculations</vt:lpstr>
      <vt:lpstr>'GF diets '!Print_Area</vt:lpstr>
      <vt:lpstr>'Lys Calculator-kg'!Print_Area</vt:lpstr>
      <vt:lpstr>'GF diets '!Print_Titles</vt:lpstr>
    </vt:vector>
  </TitlesOfParts>
  <Company>Gateway 2000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 Authorized Customer</dc:creator>
  <cp:lastModifiedBy>Rafe Royall</cp:lastModifiedBy>
  <cp:lastPrinted>2022-06-15T03:10:22Z</cp:lastPrinted>
  <dcterms:created xsi:type="dcterms:W3CDTF">1997-07-07T17:16:27Z</dcterms:created>
  <dcterms:modified xsi:type="dcterms:W3CDTF">2022-08-10T19:17:24Z</dcterms:modified>
</cp:coreProperties>
</file>