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66925"/>
  <mc:AlternateContent xmlns:mc="http://schemas.openxmlformats.org/markup-compatibility/2006">
    <mc:Choice Requires="x15">
      <x15ac:absPath xmlns:x15ac="http://schemas.microsoft.com/office/spreadsheetml/2010/11/ac" url="C:\Users\jgebhardt\Dropbox\KSU Swine Nutrition Faculty\Phytase Updates\"/>
    </mc:Choice>
  </mc:AlternateContent>
  <xr:revisionPtr revIDLastSave="0" documentId="13_ncr:1_{AC25841E-56D7-4797-858B-166AA45DA72A}" xr6:coauthVersionLast="47" xr6:coauthVersionMax="47" xr10:uidLastSave="{00000000-0000-0000-0000-000000000000}"/>
  <bookViews>
    <workbookView xWindow="44880" yWindow="-120" windowWidth="29040" windowHeight="15720" xr2:uid="{00000000-000D-0000-FFFF-FFFF00000000}"/>
  </bookViews>
  <sheets>
    <sheet name="Instructions" sheetId="16" r:id="rId1"/>
    <sheet name="Inclusion Table" sheetId="11" r:id="rId2"/>
    <sheet name="Release Table" sheetId="8" r:id="rId3"/>
    <sheet name="Inclusion Calculator" sheetId="10" r:id="rId4"/>
    <sheet name="Release Calculator" sheetId="17" r:id="rId5"/>
    <sheet name="Premix Calculator" sheetId="14" r:id="rId6"/>
    <sheet name="Ingredient Phytate P" sheetId="12" r:id="rId7"/>
    <sheet name="2025 Regression Curves" sheetId="7" state="veryHidden" r:id="rId8"/>
    <sheet name="KSU Premix Calculations" sheetId="19" state="veryHidden" r:id="rId9"/>
  </sheets>
  <definedNames>
    <definedName name="_xlnm.Print_Area" localSheetId="3">'Inclusion Calculator'!$B$2:$J$28</definedName>
    <definedName name="_xlnm.Print_Area" localSheetId="1">'Inclusion Table'!$A$1:$N$20</definedName>
    <definedName name="_xlnm.Print_Area" localSheetId="5">'Premix Calculator'!$C$2:$N$32</definedName>
    <definedName name="_xlnm.Print_Area" localSheetId="4">'Release Calculator'!$B$2:$J$25</definedName>
    <definedName name="_xlnm.Print_Area" localSheetId="2">'Release Table'!$B$1:$N$47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2" i="19" l="1"/>
  <c r="D22" i="19" s="1"/>
  <c r="E22" i="19" s="1"/>
  <c r="F15" i="19"/>
  <c r="G15" i="19"/>
  <c r="H15" i="19"/>
  <c r="F95" i="19"/>
  <c r="F96" i="19"/>
  <c r="F97" i="19"/>
  <c r="F98" i="19"/>
  <c r="F99" i="19"/>
  <c r="F100" i="19"/>
  <c r="F101" i="19"/>
  <c r="F102" i="19"/>
  <c r="F103" i="19"/>
  <c r="F104" i="19"/>
  <c r="F105" i="19"/>
  <c r="F94" i="19"/>
  <c r="F76" i="19"/>
  <c r="F77" i="19"/>
  <c r="F78" i="19"/>
  <c r="F79" i="19"/>
  <c r="F80" i="19"/>
  <c r="F81" i="19"/>
  <c r="F82" i="19"/>
  <c r="F83" i="19"/>
  <c r="F84" i="19"/>
  <c r="F85" i="19"/>
  <c r="F86" i="19"/>
  <c r="F75" i="19"/>
  <c r="F56" i="19"/>
  <c r="F57" i="19"/>
  <c r="F58" i="19"/>
  <c r="F59" i="19"/>
  <c r="F60" i="19"/>
  <c r="F61" i="19"/>
  <c r="F62" i="19"/>
  <c r="F63" i="19"/>
  <c r="F64" i="19"/>
  <c r="F65" i="19"/>
  <c r="F66" i="19"/>
  <c r="F67" i="19"/>
  <c r="F40" i="19"/>
  <c r="F41" i="19"/>
  <c r="F42" i="19"/>
  <c r="F43" i="19"/>
  <c r="F44" i="19"/>
  <c r="F45" i="19"/>
  <c r="F46" i="19"/>
  <c r="F47" i="19"/>
  <c r="F48" i="19"/>
  <c r="F49" i="19"/>
  <c r="F50" i="19"/>
  <c r="F39" i="19"/>
  <c r="E4" i="19"/>
  <c r="F23" i="19"/>
  <c r="F24" i="19"/>
  <c r="F25" i="19"/>
  <c r="F26" i="19"/>
  <c r="F27" i="19"/>
  <c r="F28" i="19"/>
  <c r="F29" i="19"/>
  <c r="F30" i="19"/>
  <c r="F31" i="19"/>
  <c r="F32" i="19"/>
  <c r="F33" i="19"/>
  <c r="E5" i="19"/>
  <c r="F5" i="19" s="1"/>
  <c r="E6" i="19"/>
  <c r="F6" i="19" s="1"/>
  <c r="E7" i="19"/>
  <c r="F7" i="19" s="1"/>
  <c r="E8" i="19"/>
  <c r="F8" i="19" s="1"/>
  <c r="E9" i="19"/>
  <c r="F9" i="19" s="1"/>
  <c r="E10" i="19"/>
  <c r="F10" i="19" s="1"/>
  <c r="E11" i="19"/>
  <c r="F11" i="19" s="1"/>
  <c r="E12" i="19"/>
  <c r="F12" i="19" s="1"/>
  <c r="E13" i="19"/>
  <c r="F13" i="19" s="1"/>
  <c r="E14" i="19"/>
  <c r="F14" i="19" s="1"/>
  <c r="E15" i="19"/>
  <c r="F4" i="19"/>
  <c r="G4" i="19" s="1"/>
  <c r="G22" i="19" l="1"/>
  <c r="H22" i="19" s="1"/>
  <c r="K4" i="19"/>
  <c r="D33" i="19"/>
  <c r="E33" i="19" s="1"/>
  <c r="D105" i="19"/>
  <c r="E105" i="19" s="1"/>
  <c r="K105" i="19"/>
  <c r="G86" i="19"/>
  <c r="K86" i="19"/>
  <c r="D67" i="19"/>
  <c r="E67" i="19" s="1"/>
  <c r="K67" i="19"/>
  <c r="D50" i="19"/>
  <c r="E50" i="19" s="1"/>
  <c r="K50" i="19"/>
  <c r="K33" i="19"/>
  <c r="I15" i="19"/>
  <c r="K15" i="19"/>
  <c r="L15" i="19" s="1"/>
  <c r="O15" i="19"/>
  <c r="I27" i="14"/>
  <c r="J27" i="14"/>
  <c r="K27" i="14"/>
  <c r="L27" i="14"/>
  <c r="M27" i="14"/>
  <c r="N27" i="14"/>
  <c r="I24" i="14"/>
  <c r="J24" i="14"/>
  <c r="K24" i="14"/>
  <c r="L24" i="14"/>
  <c r="M24" i="14"/>
  <c r="N24" i="14"/>
  <c r="I25" i="14"/>
  <c r="J25" i="14"/>
  <c r="K25" i="14"/>
  <c r="L25" i="14"/>
  <c r="M25" i="14"/>
  <c r="N25" i="14"/>
  <c r="H25" i="14"/>
  <c r="H26" i="14" s="1"/>
  <c r="H24" i="14"/>
  <c r="H27" i="14"/>
  <c r="H12" i="14"/>
  <c r="G15" i="17"/>
  <c r="G25" i="17" s="1"/>
  <c r="G15" i="10"/>
  <c r="I28" i="10"/>
  <c r="I27" i="10"/>
  <c r="G28" i="10"/>
  <c r="G27" i="10"/>
  <c r="N30" i="8"/>
  <c r="N31" i="8"/>
  <c r="N32" i="8"/>
  <c r="N33" i="8"/>
  <c r="N34" i="8"/>
  <c r="N35" i="8"/>
  <c r="N36" i="8"/>
  <c r="N37" i="8"/>
  <c r="N38" i="8"/>
  <c r="N39" i="8"/>
  <c r="N29" i="8"/>
  <c r="M29" i="8"/>
  <c r="O15" i="7"/>
  <c r="G15" i="7"/>
  <c r="N14" i="8"/>
  <c r="N15" i="8"/>
  <c r="N16" i="8"/>
  <c r="N17" i="8"/>
  <c r="N18" i="8"/>
  <c r="N19" i="8"/>
  <c r="N20" i="8"/>
  <c r="N21" i="8"/>
  <c r="N22" i="8"/>
  <c r="N23" i="8"/>
  <c r="N13" i="8"/>
  <c r="M13" i="8"/>
  <c r="P15" i="7"/>
  <c r="Q15" i="7"/>
  <c r="R15" i="7"/>
  <c r="S15" i="7"/>
  <c r="T15" i="7"/>
  <c r="U15" i="7"/>
  <c r="V15" i="7"/>
  <c r="W15" i="7"/>
  <c r="X15" i="7"/>
  <c r="Y15" i="7"/>
  <c r="Z15" i="7"/>
  <c r="AA15" i="7"/>
  <c r="AB15" i="7"/>
  <c r="H15" i="7"/>
  <c r="M15" i="7" l="1"/>
  <c r="M15" i="19"/>
  <c r="N15" i="19" s="1"/>
  <c r="H86" i="19"/>
  <c r="I86" i="19" s="1"/>
  <c r="G105" i="19"/>
  <c r="H105" i="19" s="1"/>
  <c r="I105" i="19" s="1"/>
  <c r="D86" i="19"/>
  <c r="E86" i="19" s="1"/>
  <c r="G67" i="19"/>
  <c r="H67" i="19" s="1"/>
  <c r="I67" i="19" s="1"/>
  <c r="G50" i="19"/>
  <c r="H50" i="19" s="1"/>
  <c r="I50" i="19" s="1"/>
  <c r="G33" i="19"/>
  <c r="H33" i="19" s="1"/>
  <c r="I33" i="19" s="1"/>
  <c r="J40" i="8" l="1"/>
  <c r="J24" i="8"/>
  <c r="H13" i="7" l="1"/>
  <c r="H14" i="7"/>
  <c r="G13" i="7"/>
  <c r="G12" i="7"/>
  <c r="O13" i="7"/>
  <c r="O5" i="7" l="1"/>
  <c r="D23" i="19"/>
  <c r="E23" i="19" s="1"/>
  <c r="G5" i="7"/>
  <c r="G41" i="8" l="1"/>
  <c r="G42" i="8"/>
  <c r="G25" i="8"/>
  <c r="G26" i="8"/>
  <c r="G40" i="19" l="1"/>
  <c r="K97" i="19" l="1"/>
  <c r="K100" i="19"/>
  <c r="K101" i="19"/>
  <c r="K102" i="19"/>
  <c r="K98" i="19"/>
  <c r="K103" i="19"/>
  <c r="K104" i="19"/>
  <c r="K99" i="19"/>
  <c r="K94" i="19"/>
  <c r="K96" i="19"/>
  <c r="K95" i="19"/>
  <c r="K78" i="19"/>
  <c r="K81" i="19"/>
  <c r="K82" i="19"/>
  <c r="K83" i="19"/>
  <c r="K79" i="19"/>
  <c r="K84" i="19"/>
  <c r="K85" i="19"/>
  <c r="K80" i="19"/>
  <c r="K75" i="19"/>
  <c r="K77" i="19"/>
  <c r="K76" i="19"/>
  <c r="K59" i="19"/>
  <c r="K62" i="19"/>
  <c r="K63" i="19"/>
  <c r="K64" i="19"/>
  <c r="K60" i="19"/>
  <c r="K65" i="19"/>
  <c r="K66" i="19"/>
  <c r="K61" i="19"/>
  <c r="K56" i="19"/>
  <c r="K58" i="19"/>
  <c r="K57" i="19"/>
  <c r="K42" i="19"/>
  <c r="K45" i="19"/>
  <c r="K46" i="19"/>
  <c r="K47" i="19"/>
  <c r="K43" i="19"/>
  <c r="K48" i="19"/>
  <c r="K49" i="19"/>
  <c r="K44" i="19"/>
  <c r="K39" i="19"/>
  <c r="K41" i="19"/>
  <c r="K40" i="19"/>
  <c r="H40" i="19" s="1"/>
  <c r="K25" i="19"/>
  <c r="K28" i="19"/>
  <c r="K29" i="19"/>
  <c r="K30" i="19"/>
  <c r="K26" i="19"/>
  <c r="K31" i="19"/>
  <c r="K32" i="19"/>
  <c r="K27" i="19"/>
  <c r="K22" i="19"/>
  <c r="I22" i="19" s="1"/>
  <c r="K24" i="19"/>
  <c r="K23" i="19"/>
  <c r="O7" i="19"/>
  <c r="O10" i="19"/>
  <c r="O11" i="19"/>
  <c r="O12" i="19"/>
  <c r="O8" i="19"/>
  <c r="O13" i="19"/>
  <c r="O14" i="19"/>
  <c r="O9" i="19"/>
  <c r="O4" i="19"/>
  <c r="O6" i="19"/>
  <c r="O5" i="19"/>
  <c r="D26" i="19"/>
  <c r="E26" i="19" s="1"/>
  <c r="G8" i="7" l="1"/>
  <c r="D97" i="19" l="1"/>
  <c r="E97" i="19" s="1"/>
  <c r="D100" i="19"/>
  <c r="E100" i="19" s="1"/>
  <c r="D101" i="19"/>
  <c r="E101" i="19" s="1"/>
  <c r="D102" i="19"/>
  <c r="E102" i="19" s="1"/>
  <c r="D98" i="19"/>
  <c r="E98" i="19" s="1"/>
  <c r="D103" i="19"/>
  <c r="E103" i="19" s="1"/>
  <c r="G104" i="19"/>
  <c r="H104" i="19" s="1"/>
  <c r="D99" i="19"/>
  <c r="E99" i="19" s="1"/>
  <c r="D94" i="19"/>
  <c r="E94" i="19" s="1"/>
  <c r="D96" i="19"/>
  <c r="E96" i="19" s="1"/>
  <c r="D95" i="19"/>
  <c r="E95" i="19" s="1"/>
  <c r="D76" i="19"/>
  <c r="E76" i="19" s="1"/>
  <c r="D78" i="19"/>
  <c r="E78" i="19" s="1"/>
  <c r="D81" i="19"/>
  <c r="E81" i="19" s="1"/>
  <c r="D82" i="19"/>
  <c r="E82" i="19" s="1"/>
  <c r="G83" i="19"/>
  <c r="H83" i="19" s="1"/>
  <c r="D79" i="19"/>
  <c r="E79" i="19" s="1"/>
  <c r="G84" i="19"/>
  <c r="H84" i="19" s="1"/>
  <c r="G85" i="19"/>
  <c r="H85" i="19" s="1"/>
  <c r="D80" i="19"/>
  <c r="E80" i="19" s="1"/>
  <c r="D75" i="19"/>
  <c r="E75" i="19" s="1"/>
  <c r="D77" i="19"/>
  <c r="E77" i="19" s="1"/>
  <c r="D57" i="19"/>
  <c r="E57" i="19" s="1"/>
  <c r="D66" i="19"/>
  <c r="E66" i="19" s="1"/>
  <c r="D61" i="19"/>
  <c r="E61" i="19" s="1"/>
  <c r="D56" i="19"/>
  <c r="E56" i="19" s="1"/>
  <c r="D58" i="19"/>
  <c r="E58" i="19" s="1"/>
  <c r="D59" i="19"/>
  <c r="E59" i="19" s="1"/>
  <c r="D62" i="19"/>
  <c r="E62" i="19" s="1"/>
  <c r="D63" i="19"/>
  <c r="E63" i="19" s="1"/>
  <c r="D64" i="19"/>
  <c r="E64" i="19" s="1"/>
  <c r="D60" i="19"/>
  <c r="E60" i="19" s="1"/>
  <c r="D65" i="19"/>
  <c r="E65" i="19" s="1"/>
  <c r="D42" i="19"/>
  <c r="E42" i="19" s="1"/>
  <c r="G45" i="19"/>
  <c r="H45" i="19" s="1"/>
  <c r="G46" i="19"/>
  <c r="H46" i="19" s="1"/>
  <c r="G47" i="19"/>
  <c r="H47" i="19" s="1"/>
  <c r="D43" i="19"/>
  <c r="E43" i="19" s="1"/>
  <c r="D48" i="19"/>
  <c r="E48" i="19" s="1"/>
  <c r="D49" i="19"/>
  <c r="E49" i="19" s="1"/>
  <c r="D44" i="19"/>
  <c r="E44" i="19" s="1"/>
  <c r="D39" i="19"/>
  <c r="E39" i="19" s="1"/>
  <c r="G41" i="19"/>
  <c r="H41" i="19" s="1"/>
  <c r="G25" i="19"/>
  <c r="H25" i="19" s="1"/>
  <c r="G28" i="19"/>
  <c r="H28" i="19" s="1"/>
  <c r="D29" i="19"/>
  <c r="E29" i="19" s="1"/>
  <c r="G30" i="19"/>
  <c r="H30" i="19" s="1"/>
  <c r="G26" i="19"/>
  <c r="H26" i="19" s="1"/>
  <c r="D31" i="19"/>
  <c r="E31" i="19" s="1"/>
  <c r="G32" i="19"/>
  <c r="H32" i="19" s="1"/>
  <c r="D27" i="19"/>
  <c r="E27" i="19" s="1"/>
  <c r="G24" i="19"/>
  <c r="H24" i="19" s="1"/>
  <c r="G5" i="19"/>
  <c r="H5" i="19" s="1"/>
  <c r="K6" i="19"/>
  <c r="L6" i="19" s="1"/>
  <c r="M6" i="19" s="1"/>
  <c r="G6" i="19"/>
  <c r="H6" i="19" s="1"/>
  <c r="I6" i="19" s="1"/>
  <c r="K7" i="19"/>
  <c r="L7" i="19" s="1"/>
  <c r="M7" i="19" s="1"/>
  <c r="K10" i="19"/>
  <c r="L10" i="19" s="1"/>
  <c r="M10" i="19" s="1"/>
  <c r="K11" i="19"/>
  <c r="L11" i="19" s="1"/>
  <c r="M11" i="19" s="1"/>
  <c r="K12" i="19"/>
  <c r="L12" i="19" s="1"/>
  <c r="M12" i="19" s="1"/>
  <c r="K8" i="19"/>
  <c r="L8" i="19" s="1"/>
  <c r="M8" i="19" s="1"/>
  <c r="K13" i="19"/>
  <c r="L13" i="19" s="1"/>
  <c r="M13" i="19" s="1"/>
  <c r="K14" i="19"/>
  <c r="L14" i="19" s="1"/>
  <c r="M14" i="19" s="1"/>
  <c r="K9" i="19"/>
  <c r="L9" i="19" s="1"/>
  <c r="M9" i="19" s="1"/>
  <c r="L4" i="19"/>
  <c r="M4" i="19" s="1"/>
  <c r="N4" i="19" s="1"/>
  <c r="K5" i="19"/>
  <c r="L5" i="19" s="1"/>
  <c r="M5" i="19" s="1"/>
  <c r="G23" i="19" l="1"/>
  <c r="H23" i="19" s="1"/>
  <c r="I23" i="19" s="1"/>
  <c r="G103" i="19"/>
  <c r="H103" i="19" s="1"/>
  <c r="I103" i="19" s="1"/>
  <c r="D83" i="19"/>
  <c r="E83" i="19" s="1"/>
  <c r="G80" i="19"/>
  <c r="G39" i="19"/>
  <c r="D47" i="19"/>
  <c r="E47" i="19" s="1"/>
  <c r="G99" i="19"/>
  <c r="D46" i="19"/>
  <c r="E46" i="19" s="1"/>
  <c r="D25" i="19"/>
  <c r="E25" i="19" s="1"/>
  <c r="G27" i="19"/>
  <c r="H27" i="19" s="1"/>
  <c r="I27" i="19" s="1"/>
  <c r="G44" i="19"/>
  <c r="H44" i="19" s="1"/>
  <c r="I44" i="19" s="1"/>
  <c r="D45" i="19"/>
  <c r="E45" i="19" s="1"/>
  <c r="G102" i="19"/>
  <c r="H102" i="19" s="1"/>
  <c r="I102" i="19" s="1"/>
  <c r="G31" i="19"/>
  <c r="G43" i="19"/>
  <c r="G81" i="19"/>
  <c r="G29" i="19"/>
  <c r="G57" i="19"/>
  <c r="G42" i="19"/>
  <c r="H42" i="19" s="1"/>
  <c r="I42" i="19" s="1"/>
  <c r="G77" i="19"/>
  <c r="D84" i="19"/>
  <c r="E84" i="19" s="1"/>
  <c r="D32" i="19"/>
  <c r="E32" i="19" s="1"/>
  <c r="D41" i="19"/>
  <c r="E41" i="19" s="1"/>
  <c r="G96" i="19"/>
  <c r="G100" i="19"/>
  <c r="G98" i="19"/>
  <c r="I30" i="19"/>
  <c r="I104" i="19"/>
  <c r="G101" i="19"/>
  <c r="D104" i="19"/>
  <c r="E104" i="19" s="1"/>
  <c r="G94" i="19"/>
  <c r="G97" i="19"/>
  <c r="D40" i="19"/>
  <c r="E40" i="19" s="1"/>
  <c r="G49" i="19"/>
  <c r="I47" i="19"/>
  <c r="I32" i="19"/>
  <c r="I85" i="19"/>
  <c r="G82" i="19"/>
  <c r="I25" i="19"/>
  <c r="D30" i="19"/>
  <c r="E30" i="19" s="1"/>
  <c r="G48" i="19"/>
  <c r="I40" i="19"/>
  <c r="I46" i="19"/>
  <c r="I84" i="19"/>
  <c r="I41" i="19"/>
  <c r="I26" i="19"/>
  <c r="I45" i="19"/>
  <c r="D24" i="19"/>
  <c r="E24" i="19" s="1"/>
  <c r="D28" i="19"/>
  <c r="E28" i="19" s="1"/>
  <c r="I83" i="19"/>
  <c r="I24" i="19"/>
  <c r="I28" i="19"/>
  <c r="D85" i="19"/>
  <c r="E85" i="19" s="1"/>
  <c r="G79" i="19"/>
  <c r="G75" i="19"/>
  <c r="G78" i="19"/>
  <c r="G56" i="19"/>
  <c r="G66" i="19"/>
  <c r="G58" i="19"/>
  <c r="G61" i="19"/>
  <c r="G65" i="19"/>
  <c r="G64" i="19"/>
  <c r="G62" i="19"/>
  <c r="G60" i="19"/>
  <c r="G63" i="19"/>
  <c r="G59" i="19"/>
  <c r="N6" i="19"/>
  <c r="H78" i="19" l="1"/>
  <c r="I78" i="19" s="1"/>
  <c r="H43" i="19"/>
  <c r="I43" i="19" s="1"/>
  <c r="H62" i="19"/>
  <c r="I62" i="19" s="1"/>
  <c r="H99" i="19"/>
  <c r="I99" i="19" s="1"/>
  <c r="H65" i="19"/>
  <c r="I65" i="19" s="1"/>
  <c r="H48" i="19"/>
  <c r="I48" i="19" s="1"/>
  <c r="H77" i="19"/>
  <c r="I77" i="19" s="1"/>
  <c r="H39" i="19"/>
  <c r="I39" i="19" s="1"/>
  <c r="H80" i="19"/>
  <c r="I80" i="19" s="1"/>
  <c r="H60" i="19"/>
  <c r="I60" i="19" s="1"/>
  <c r="H79" i="19"/>
  <c r="I79" i="19" s="1"/>
  <c r="H61" i="19"/>
  <c r="I61" i="19" s="1"/>
  <c r="H58" i="19"/>
  <c r="I58" i="19" s="1"/>
  <c r="H94" i="19"/>
  <c r="I94" i="19" s="1"/>
  <c r="H98" i="19"/>
  <c r="I98" i="19" s="1"/>
  <c r="H57" i="19"/>
  <c r="I57" i="19" s="1"/>
  <c r="H64" i="19"/>
  <c r="I64" i="19" s="1"/>
  <c r="H97" i="19"/>
  <c r="I97" i="19" s="1"/>
  <c r="H75" i="19"/>
  <c r="I75" i="19" s="1"/>
  <c r="H31" i="19"/>
  <c r="I31" i="19" s="1"/>
  <c r="H49" i="19"/>
  <c r="I49" i="19" s="1"/>
  <c r="H59" i="19"/>
  <c r="I59" i="19" s="1"/>
  <c r="H66" i="19"/>
  <c r="I66" i="19" s="1"/>
  <c r="H82" i="19"/>
  <c r="I82" i="19" s="1"/>
  <c r="H100" i="19"/>
  <c r="I100" i="19" s="1"/>
  <c r="H29" i="19"/>
  <c r="I29" i="19" s="1"/>
  <c r="H63" i="19"/>
  <c r="I63" i="19" s="1"/>
  <c r="H56" i="19"/>
  <c r="I56" i="19" s="1"/>
  <c r="H101" i="19"/>
  <c r="I101" i="19" s="1"/>
  <c r="H96" i="19"/>
  <c r="I96" i="19" s="1"/>
  <c r="H81" i="19"/>
  <c r="I81" i="19" s="1"/>
  <c r="G14" i="19"/>
  <c r="N14" i="19"/>
  <c r="G9" i="19"/>
  <c r="N9" i="19"/>
  <c r="H4" i="19"/>
  <c r="I4" i="19" s="1"/>
  <c r="I5" i="19"/>
  <c r="N7" i="19"/>
  <c r="N10" i="19"/>
  <c r="N11" i="19"/>
  <c r="N12" i="19"/>
  <c r="N8" i="19"/>
  <c r="N13" i="19"/>
  <c r="N5" i="19"/>
  <c r="G95" i="19"/>
  <c r="G76" i="19"/>
  <c r="H76" i="19" s="1"/>
  <c r="G13" i="19"/>
  <c r="H13" i="19" s="1"/>
  <c r="G8" i="19"/>
  <c r="G12" i="19"/>
  <c r="G11" i="19"/>
  <c r="H11" i="19" s="1"/>
  <c r="G10" i="19"/>
  <c r="G7" i="19"/>
  <c r="H12" i="19" l="1"/>
  <c r="I12" i="19" s="1"/>
  <c r="H8" i="19"/>
  <c r="I8" i="19" s="1"/>
  <c r="H9" i="19"/>
  <c r="I9" i="19" s="1"/>
  <c r="H14" i="19"/>
  <c r="I14" i="19" s="1"/>
  <c r="I13" i="19"/>
  <c r="H7" i="19"/>
  <c r="H10" i="19"/>
  <c r="I10" i="19" s="1"/>
  <c r="H95" i="19"/>
  <c r="I95" i="19" s="1"/>
  <c r="I76" i="19"/>
  <c r="I11" i="19"/>
  <c r="I7" i="19" l="1"/>
  <c r="D30" i="8"/>
  <c r="D31" i="8"/>
  <c r="D32" i="8"/>
  <c r="D33" i="8"/>
  <c r="D34" i="8"/>
  <c r="D35" i="8"/>
  <c r="D36" i="8"/>
  <c r="D37" i="8"/>
  <c r="D38" i="8"/>
  <c r="D39" i="8"/>
  <c r="D40" i="8"/>
  <c r="D41" i="8"/>
  <c r="D42" i="8"/>
  <c r="D29" i="8"/>
  <c r="E29" i="8"/>
  <c r="E17" i="8"/>
  <c r="D14" i="8"/>
  <c r="D15" i="8"/>
  <c r="D16" i="8"/>
  <c r="D17" i="8"/>
  <c r="D18" i="8"/>
  <c r="D19" i="8"/>
  <c r="D20" i="8"/>
  <c r="D21" i="8"/>
  <c r="D22" i="8"/>
  <c r="D23" i="8"/>
  <c r="D24" i="8"/>
  <c r="D25" i="8"/>
  <c r="D26" i="8"/>
  <c r="D13" i="8"/>
  <c r="E13" i="8"/>
  <c r="H5" i="7" l="1"/>
  <c r="H8" i="7" l="1"/>
  <c r="H17" i="7"/>
  <c r="G17" i="7"/>
  <c r="I38" i="8" l="1"/>
  <c r="I39" i="8"/>
  <c r="I40" i="8"/>
  <c r="I22" i="8"/>
  <c r="I23" i="8"/>
  <c r="I24" i="8"/>
  <c r="I22" i="14" l="1"/>
  <c r="I21" i="14"/>
  <c r="H22" i="14"/>
  <c r="H30" i="8"/>
  <c r="H31" i="8"/>
  <c r="H32" i="8"/>
  <c r="H33" i="8"/>
  <c r="H34" i="8"/>
  <c r="H35" i="8"/>
  <c r="H36" i="8"/>
  <c r="H37" i="8"/>
  <c r="H38" i="8"/>
  <c r="H39" i="8"/>
  <c r="H40" i="8"/>
  <c r="H29" i="8"/>
  <c r="H14" i="8"/>
  <c r="H15" i="8"/>
  <c r="H16" i="8"/>
  <c r="H17" i="8"/>
  <c r="H18" i="8"/>
  <c r="H19" i="8"/>
  <c r="H20" i="8"/>
  <c r="H21" i="8"/>
  <c r="H22" i="8"/>
  <c r="H23" i="8"/>
  <c r="H24" i="8"/>
  <c r="H13" i="8"/>
  <c r="O9" i="7"/>
  <c r="O16" i="7"/>
  <c r="H9" i="7"/>
  <c r="O14" i="7" l="1"/>
  <c r="G9" i="7"/>
  <c r="M40" i="8" l="1"/>
  <c r="G22" i="17" l="1"/>
  <c r="G23" i="17" s="1"/>
  <c r="M30" i="8"/>
  <c r="M31" i="8"/>
  <c r="M32" i="8"/>
  <c r="M33" i="8"/>
  <c r="M34" i="8"/>
  <c r="M35" i="8"/>
  <c r="M36" i="8"/>
  <c r="M37" i="8"/>
  <c r="M38" i="8"/>
  <c r="M39" i="8"/>
  <c r="L29" i="8"/>
  <c r="M14" i="8"/>
  <c r="M15" i="8"/>
  <c r="M16" i="8"/>
  <c r="M17" i="8"/>
  <c r="M18" i="8"/>
  <c r="M19" i="8"/>
  <c r="M20" i="8"/>
  <c r="M21" i="8"/>
  <c r="M22" i="8"/>
  <c r="M23" i="8"/>
  <c r="M24" i="8"/>
  <c r="L13" i="8"/>
  <c r="G19" i="17" l="1"/>
  <c r="G21" i="17"/>
  <c r="G14" i="7"/>
  <c r="L40" i="8"/>
  <c r="L41" i="8"/>
  <c r="L24" i="8"/>
  <c r="L25" i="8"/>
  <c r="O8" i="7" l="1"/>
  <c r="O12" i="7"/>
  <c r="O11" i="7"/>
  <c r="O10" i="7"/>
  <c r="O7" i="7"/>
  <c r="H6" i="7"/>
  <c r="O6" i="7"/>
  <c r="P4" i="7"/>
  <c r="O17" i="7" l="1"/>
  <c r="P11" i="7"/>
  <c r="P5" i="7"/>
  <c r="P12" i="7"/>
  <c r="Q4" i="7"/>
  <c r="Q5" i="7" s="1"/>
  <c r="P9" i="7"/>
  <c r="P14" i="7"/>
  <c r="P16" i="7"/>
  <c r="P10" i="7"/>
  <c r="P6" i="7"/>
  <c r="P17" i="7" s="1"/>
  <c r="P13" i="7"/>
  <c r="P7" i="7"/>
  <c r="P8" i="7"/>
  <c r="H16" i="7"/>
  <c r="G16" i="7"/>
  <c r="Q7" i="7" l="1"/>
  <c r="Q9" i="7"/>
  <c r="Q16" i="7"/>
  <c r="Q14" i="7"/>
  <c r="Q13" i="7"/>
  <c r="Q6" i="7"/>
  <c r="Q17" i="7" s="1"/>
  <c r="Q10" i="7"/>
  <c r="Q11" i="7"/>
  <c r="Q8" i="7"/>
  <c r="Q12" i="7"/>
  <c r="R4" i="7"/>
  <c r="R5" i="7" s="1"/>
  <c r="R10" i="7"/>
  <c r="R12" i="7"/>
  <c r="K24" i="8"/>
  <c r="R7" i="7" l="1"/>
  <c r="R11" i="7"/>
  <c r="R9" i="7"/>
  <c r="R16" i="7"/>
  <c r="R14" i="7"/>
  <c r="S4" i="7"/>
  <c r="R8" i="7"/>
  <c r="R13" i="7"/>
  <c r="R6" i="7"/>
  <c r="R17" i="7" s="1"/>
  <c r="K38" i="8"/>
  <c r="K39" i="8"/>
  <c r="K40" i="8"/>
  <c r="K22" i="8"/>
  <c r="K23" i="8"/>
  <c r="T4" i="7" l="1"/>
  <c r="T5" i="7" s="1"/>
  <c r="S5" i="7"/>
  <c r="T9" i="7"/>
  <c r="T14" i="7"/>
  <c r="T16" i="7"/>
  <c r="S11" i="7"/>
  <c r="S10" i="7"/>
  <c r="S9" i="7"/>
  <c r="S14" i="7"/>
  <c r="S16" i="7"/>
  <c r="S6" i="7"/>
  <c r="S17" i="7" s="1"/>
  <c r="S7" i="7"/>
  <c r="S12" i="7"/>
  <c r="S13" i="7"/>
  <c r="S8" i="7"/>
  <c r="U4" i="7"/>
  <c r="U5" i="7" s="1"/>
  <c r="T8" i="7"/>
  <c r="T10" i="7"/>
  <c r="T11" i="7"/>
  <c r="T6" i="7"/>
  <c r="T17" i="7" s="1"/>
  <c r="T13" i="7"/>
  <c r="T12" i="7"/>
  <c r="T7" i="7"/>
  <c r="U9" i="7" l="1"/>
  <c r="U16" i="7"/>
  <c r="U14" i="7"/>
  <c r="V4" i="7"/>
  <c r="V5" i="7" s="1"/>
  <c r="U8" i="7"/>
  <c r="U10" i="7"/>
  <c r="U11" i="7"/>
  <c r="U6" i="7"/>
  <c r="U17" i="7" s="1"/>
  <c r="U12" i="7"/>
  <c r="U13" i="7"/>
  <c r="U7" i="7"/>
  <c r="M22" i="14"/>
  <c r="M21" i="14" s="1"/>
  <c r="M14" i="14"/>
  <c r="M15" i="14" s="1"/>
  <c r="H21" i="14"/>
  <c r="G23" i="10"/>
  <c r="M26" i="14" l="1"/>
  <c r="V9" i="7"/>
  <c r="V16" i="7"/>
  <c r="V14" i="7"/>
  <c r="W4" i="7"/>
  <c r="W5" i="7" s="1"/>
  <c r="V12" i="7"/>
  <c r="V8" i="7"/>
  <c r="V13" i="7"/>
  <c r="V10" i="7"/>
  <c r="V11" i="7"/>
  <c r="V6" i="7"/>
  <c r="V17" i="7" s="1"/>
  <c r="V7" i="7"/>
  <c r="G24" i="10"/>
  <c r="K22" i="14"/>
  <c r="K21" i="14" s="1"/>
  <c r="L22" i="14"/>
  <c r="L21" i="14" s="1"/>
  <c r="N22" i="14"/>
  <c r="N21" i="14" s="1"/>
  <c r="K14" i="14"/>
  <c r="K15" i="14" s="1"/>
  <c r="L14" i="14"/>
  <c r="L15" i="14" s="1"/>
  <c r="N14" i="14"/>
  <c r="N15" i="14" s="1"/>
  <c r="I14" i="14"/>
  <c r="J14" i="14"/>
  <c r="J15" i="14" s="1"/>
  <c r="H14" i="14"/>
  <c r="J22" i="14"/>
  <c r="J21" i="14" s="1"/>
  <c r="J26" i="14" l="1"/>
  <c r="I15" i="14"/>
  <c r="I26" i="14" s="1"/>
  <c r="N26" i="14"/>
  <c r="L26" i="14"/>
  <c r="K26" i="14"/>
  <c r="W9" i="7"/>
  <c r="W14" i="7"/>
  <c r="W16" i="7"/>
  <c r="H25" i="17"/>
  <c r="G27" i="17"/>
  <c r="G28" i="17" s="1"/>
  <c r="X4" i="7"/>
  <c r="X5" i="7" s="1"/>
  <c r="W10" i="7"/>
  <c r="M10" i="7" s="1"/>
  <c r="W13" i="7"/>
  <c r="W12" i="7"/>
  <c r="W11" i="7"/>
  <c r="W6" i="7"/>
  <c r="W17" i="7" s="1"/>
  <c r="W8" i="7"/>
  <c r="W7" i="7"/>
  <c r="H15" i="14"/>
  <c r="X9" i="7" l="1"/>
  <c r="X14" i="7"/>
  <c r="X16" i="7"/>
  <c r="Y4" i="7"/>
  <c r="Y5" i="7" s="1"/>
  <c r="X8" i="7"/>
  <c r="X6" i="7"/>
  <c r="X17" i="7" s="1"/>
  <c r="X12" i="7"/>
  <c r="X11" i="7"/>
  <c r="X7" i="7"/>
  <c r="X13" i="7"/>
  <c r="L30" i="8"/>
  <c r="L31" i="8"/>
  <c r="L32" i="8"/>
  <c r="L33" i="8"/>
  <c r="L34" i="8"/>
  <c r="L35" i="8"/>
  <c r="L36" i="8"/>
  <c r="L37" i="8"/>
  <c r="L38" i="8"/>
  <c r="L39" i="8"/>
  <c r="G30" i="8"/>
  <c r="G31" i="8"/>
  <c r="G32" i="8"/>
  <c r="G33" i="8"/>
  <c r="G34" i="8"/>
  <c r="G35" i="8"/>
  <c r="G36" i="8"/>
  <c r="G37" i="8"/>
  <c r="G38" i="8"/>
  <c r="G39" i="8"/>
  <c r="G40" i="8"/>
  <c r="G29" i="8"/>
  <c r="K30" i="8"/>
  <c r="K31" i="8"/>
  <c r="K32" i="8"/>
  <c r="K33" i="8"/>
  <c r="K34" i="8"/>
  <c r="K35" i="8"/>
  <c r="K36" i="8"/>
  <c r="K37" i="8"/>
  <c r="K29" i="8"/>
  <c r="J30" i="8"/>
  <c r="J31" i="8"/>
  <c r="J32" i="8"/>
  <c r="J33" i="8"/>
  <c r="J34" i="8"/>
  <c r="J35" i="8"/>
  <c r="J36" i="8"/>
  <c r="J37" i="8"/>
  <c r="J38" i="8"/>
  <c r="J39" i="8"/>
  <c r="J29" i="8"/>
  <c r="I30" i="8"/>
  <c r="I31" i="8"/>
  <c r="I32" i="8"/>
  <c r="I33" i="8"/>
  <c r="I34" i="8"/>
  <c r="I35" i="8"/>
  <c r="I36" i="8"/>
  <c r="I37" i="8"/>
  <c r="I29" i="8"/>
  <c r="F30" i="8"/>
  <c r="F31" i="8"/>
  <c r="F32" i="8"/>
  <c r="F33" i="8"/>
  <c r="F34" i="8"/>
  <c r="F35" i="8"/>
  <c r="F36" i="8"/>
  <c r="F37" i="8"/>
  <c r="F38" i="8"/>
  <c r="F39" i="8"/>
  <c r="F40" i="8"/>
  <c r="F41" i="8"/>
  <c r="F42" i="8"/>
  <c r="F43" i="8"/>
  <c r="F44" i="8"/>
  <c r="F29" i="8"/>
  <c r="E30" i="8"/>
  <c r="E31" i="8"/>
  <c r="E32" i="8"/>
  <c r="E33" i="8"/>
  <c r="E34" i="8"/>
  <c r="E35" i="8"/>
  <c r="E36" i="8"/>
  <c r="E37" i="8"/>
  <c r="E38" i="8"/>
  <c r="E39" i="8"/>
  <c r="E40" i="8"/>
  <c r="Y9" i="7" l="1"/>
  <c r="Y16" i="7"/>
  <c r="Y14" i="7"/>
  <c r="Z4" i="7"/>
  <c r="Z5" i="7" s="1"/>
  <c r="Y7" i="7"/>
  <c r="Y8" i="7"/>
  <c r="Y11" i="7"/>
  <c r="Y12" i="7"/>
  <c r="Y6" i="7"/>
  <c r="Y17" i="7" s="1"/>
  <c r="Y13" i="7"/>
  <c r="E14" i="8"/>
  <c r="Z9" i="7" l="1"/>
  <c r="Z16" i="7"/>
  <c r="Z14" i="7"/>
  <c r="AA4" i="7"/>
  <c r="AA5" i="7" s="1"/>
  <c r="Z13" i="7"/>
  <c r="Z12" i="7"/>
  <c r="Z11" i="7"/>
  <c r="Z7" i="7"/>
  <c r="Z8" i="7"/>
  <c r="Z6" i="7"/>
  <c r="Z17" i="7" s="1"/>
  <c r="L14" i="8"/>
  <c r="L15" i="8"/>
  <c r="L16" i="8"/>
  <c r="L17" i="8"/>
  <c r="L18" i="8"/>
  <c r="L19" i="8"/>
  <c r="L20" i="8"/>
  <c r="L21" i="8"/>
  <c r="L22" i="8"/>
  <c r="L23" i="8"/>
  <c r="G13" i="8"/>
  <c r="G14" i="8"/>
  <c r="G15" i="8"/>
  <c r="G16" i="8"/>
  <c r="G17" i="8"/>
  <c r="G18" i="8"/>
  <c r="G19" i="8"/>
  <c r="G20" i="8"/>
  <c r="G21" i="8"/>
  <c r="G22" i="8"/>
  <c r="G23" i="8"/>
  <c r="G24" i="8"/>
  <c r="K13" i="8"/>
  <c r="K14" i="8"/>
  <c r="K15" i="8"/>
  <c r="K16" i="8"/>
  <c r="K17" i="8"/>
  <c r="K18" i="8"/>
  <c r="K19" i="8"/>
  <c r="K20" i="8"/>
  <c r="K21" i="8"/>
  <c r="J13" i="8"/>
  <c r="J14" i="8"/>
  <c r="J15" i="8"/>
  <c r="J16" i="8"/>
  <c r="J17" i="8"/>
  <c r="J18" i="8"/>
  <c r="J19" i="8"/>
  <c r="J20" i="8"/>
  <c r="J21" i="8"/>
  <c r="J22" i="8"/>
  <c r="J23" i="8"/>
  <c r="I13" i="8"/>
  <c r="I14" i="8"/>
  <c r="I15" i="8"/>
  <c r="I16" i="8"/>
  <c r="I17" i="8"/>
  <c r="I18" i="8"/>
  <c r="I19" i="8"/>
  <c r="I20" i="8"/>
  <c r="I21" i="8"/>
  <c r="F13" i="8"/>
  <c r="F14" i="8"/>
  <c r="F15" i="8"/>
  <c r="F16" i="8"/>
  <c r="F17" i="8"/>
  <c r="F18" i="8"/>
  <c r="F19" i="8"/>
  <c r="F20" i="8"/>
  <c r="F21" i="8"/>
  <c r="F22" i="8"/>
  <c r="F23" i="8"/>
  <c r="F24" i="8"/>
  <c r="F25" i="8"/>
  <c r="F26" i="8"/>
  <c r="F27" i="8"/>
  <c r="F28" i="8"/>
  <c r="E15" i="8"/>
  <c r="E16" i="8"/>
  <c r="E18" i="8"/>
  <c r="E19" i="8"/>
  <c r="E20" i="8"/>
  <c r="E21" i="8"/>
  <c r="E22" i="8"/>
  <c r="E23" i="8"/>
  <c r="E24" i="8"/>
  <c r="AA9" i="7" l="1"/>
  <c r="AA14" i="7"/>
  <c r="AA16" i="7"/>
  <c r="AB4" i="7"/>
  <c r="AB5" i="7" s="1"/>
  <c r="AA11" i="7"/>
  <c r="AA6" i="7"/>
  <c r="AA17" i="7" s="1"/>
  <c r="AA13" i="7"/>
  <c r="AA7" i="7"/>
  <c r="AA12" i="7"/>
  <c r="AA8" i="7"/>
  <c r="H28" i="10"/>
  <c r="AB9" i="7" l="1"/>
  <c r="AB14" i="7"/>
  <c r="AB16" i="7"/>
  <c r="AC4" i="7"/>
  <c r="AB8" i="7"/>
  <c r="AB11" i="7"/>
  <c r="AB6" i="7"/>
  <c r="AB17" i="7" s="1"/>
  <c r="AB13" i="7"/>
  <c r="AB7" i="7"/>
  <c r="AB12" i="7"/>
  <c r="G18" i="10"/>
  <c r="AC5" i="7" l="1"/>
  <c r="AC11" i="7"/>
  <c r="AC9" i="7"/>
  <c r="AC16" i="7"/>
  <c r="AC14" i="7"/>
  <c r="AC13" i="7"/>
  <c r="AD4" i="7"/>
  <c r="AC7" i="7"/>
  <c r="AC8" i="7"/>
  <c r="AC6" i="7"/>
  <c r="AC17" i="7" s="1"/>
  <c r="AC12" i="7"/>
  <c r="G6" i="7"/>
  <c r="AD5" i="7" l="1"/>
  <c r="AD11" i="7"/>
  <c r="AD9" i="7"/>
  <c r="AD16" i="7"/>
  <c r="AD14" i="7"/>
  <c r="AD13" i="7"/>
  <c r="AD12" i="7"/>
  <c r="AE4" i="7"/>
  <c r="AD8" i="7"/>
  <c r="AD7" i="7"/>
  <c r="AD6" i="7"/>
  <c r="AD17" i="7" s="1"/>
  <c r="G20" i="10"/>
  <c r="G21" i="10" s="1"/>
  <c r="AE5" i="7" l="1"/>
  <c r="AE11" i="7"/>
  <c r="AE9" i="7"/>
  <c r="AE14" i="7"/>
  <c r="AE16" i="7"/>
  <c r="AE13" i="7"/>
  <c r="AF4" i="7"/>
  <c r="AE6" i="7"/>
  <c r="AE17" i="7" s="1"/>
  <c r="AE12" i="7"/>
  <c r="AE7" i="7"/>
  <c r="AE8" i="7"/>
  <c r="G10" i="7"/>
  <c r="H10" i="7"/>
  <c r="G7" i="7"/>
  <c r="H7" i="7"/>
  <c r="H11" i="7"/>
  <c r="H12" i="7"/>
  <c r="H27" i="10" s="1"/>
  <c r="G11" i="7"/>
  <c r="AF5" i="7" l="1"/>
  <c r="AF11" i="7"/>
  <c r="AF9" i="7"/>
  <c r="AF14" i="7"/>
  <c r="AF16" i="7"/>
  <c r="AF13" i="7"/>
  <c r="AG4" i="7"/>
  <c r="AF6" i="7"/>
  <c r="AF17" i="7" s="1"/>
  <c r="AF8" i="7"/>
  <c r="AF12" i="7"/>
  <c r="AF7" i="7"/>
  <c r="AG5" i="7" l="1"/>
  <c r="AG11" i="7"/>
  <c r="M11" i="7" s="1"/>
  <c r="AG9" i="7"/>
  <c r="M9" i="7" s="1"/>
  <c r="AG16" i="7"/>
  <c r="M16" i="7" s="1"/>
  <c r="AG14" i="7"/>
  <c r="M14" i="7" s="1"/>
  <c r="AG13" i="7"/>
  <c r="AG7" i="7"/>
  <c r="AH4" i="7"/>
  <c r="AH8" i="7" s="1"/>
  <c r="AG6" i="7"/>
  <c r="M6" i="7" s="1"/>
  <c r="AG8" i="7"/>
  <c r="AG12" i="7"/>
  <c r="M12" i="7" s="1"/>
  <c r="AG17" i="7" l="1"/>
  <c r="M17" i="7" s="1"/>
  <c r="AH13" i="7"/>
  <c r="AH5" i="7"/>
  <c r="AI4" i="7"/>
  <c r="AI8" i="7" s="1"/>
  <c r="AH7" i="7"/>
  <c r="AI13" i="7" l="1"/>
  <c r="AI5" i="7"/>
  <c r="AJ4" i="7"/>
  <c r="AJ8" i="7" s="1"/>
  <c r="AI7" i="7"/>
  <c r="AJ13" i="7" l="1"/>
  <c r="AJ5" i="7"/>
  <c r="AK4" i="7"/>
  <c r="AK8" i="7" s="1"/>
  <c r="AJ7" i="7"/>
  <c r="AK13" i="7" l="1"/>
  <c r="AK5" i="7"/>
  <c r="AL4" i="7"/>
  <c r="AL8" i="7" s="1"/>
  <c r="AK7" i="7"/>
  <c r="AL13" i="7" l="1"/>
  <c r="M13" i="7" s="1"/>
  <c r="AL5" i="7"/>
  <c r="AM4" i="7"/>
  <c r="AL7" i="7"/>
  <c r="AM5" i="7" l="1"/>
  <c r="AM8" i="7"/>
  <c r="AN4" i="7"/>
  <c r="AM7" i="7"/>
  <c r="AN5" i="7" l="1"/>
  <c r="AN8" i="7"/>
  <c r="AO4" i="7"/>
  <c r="AN7" i="7"/>
  <c r="AO5" i="7" l="1"/>
  <c r="AO8" i="7"/>
  <c r="AP4" i="7"/>
  <c r="AO7" i="7"/>
  <c r="AP5" i="7" l="1"/>
  <c r="AP8" i="7"/>
  <c r="AQ4" i="7"/>
  <c r="AP7" i="7"/>
  <c r="AQ5" i="7" l="1"/>
  <c r="M5" i="7" s="1"/>
  <c r="AQ8" i="7"/>
  <c r="M8" i="7" s="1"/>
  <c r="AR4" i="7"/>
  <c r="AQ7" i="7"/>
  <c r="AS4" i="7" l="1"/>
  <c r="AR7" i="7"/>
  <c r="AT4" i="7" l="1"/>
  <c r="AS7" i="7"/>
  <c r="AU4" i="7" l="1"/>
  <c r="AT7" i="7"/>
  <c r="AV4" i="7" l="1"/>
  <c r="AU7" i="7"/>
  <c r="AW4" i="7" l="1"/>
  <c r="AV7" i="7"/>
  <c r="AX4" i="7" l="1"/>
  <c r="AW7" i="7"/>
  <c r="AY4" i="7" l="1"/>
  <c r="AX7" i="7"/>
  <c r="AZ4" i="7" l="1"/>
  <c r="AY7" i="7"/>
  <c r="BA4" i="7" l="1"/>
  <c r="BA7" i="7" s="1"/>
  <c r="AZ7" i="7"/>
  <c r="M7" i="7" l="1"/>
</calcChain>
</file>

<file path=xl/sharedStrings.xml><?xml version="1.0" encoding="utf-8"?>
<sst xmlns="http://schemas.openxmlformats.org/spreadsheetml/2006/main" count="573" uniqueCount="275">
  <si>
    <t>2025 KSU Phytase Calculator</t>
  </si>
  <si>
    <t>Created by the KSU Applied Swine Nutrition team</t>
  </si>
  <si>
    <t>Overview of tool:</t>
  </si>
  <si>
    <t>Instructions for use:</t>
  </si>
  <si>
    <t>Developed: June 2021</t>
  </si>
  <si>
    <r>
      <t>Phytase units/kg to provide specific level of phosphorous release</t>
    </r>
    <r>
      <rPr>
        <vertAlign val="superscript"/>
        <sz val="12"/>
        <rFont val="Arial"/>
        <family val="2"/>
      </rPr>
      <t>1</t>
    </r>
  </si>
  <si>
    <t>Phytase units reported using manufacturer assay</t>
  </si>
  <si>
    <t>Allzyme Swine HC</t>
  </si>
  <si>
    <t>Axtra PHY GOLD</t>
  </si>
  <si>
    <t>Grainzyme</t>
  </si>
  <si>
    <t>HiPhorius</t>
  </si>
  <si>
    <t>Microtech</t>
  </si>
  <si>
    <t>Natuphos E</t>
  </si>
  <si>
    <t>Optiphos Plus</t>
  </si>
  <si>
    <t>Quantum Blue</t>
  </si>
  <si>
    <t>Smizyme TS G5</t>
  </si>
  <si>
    <t>Sunphase HT</t>
  </si>
  <si>
    <t xml:space="preserve"> Digestible P (STTD) release, %</t>
  </si>
  <si>
    <t>Available P release, %</t>
  </si>
  <si>
    <t>Alltech</t>
  </si>
  <si>
    <t>IFF/Danisco</t>
  </si>
  <si>
    <t>Agrivida</t>
  </si>
  <si>
    <t xml:space="preserve">Guangdong VTR Bio-Tech </t>
  </si>
  <si>
    <t>BASF</t>
  </si>
  <si>
    <t>Huvepharma</t>
  </si>
  <si>
    <t>AB Vista</t>
  </si>
  <si>
    <t>Barentz</t>
  </si>
  <si>
    <t>Wuhan Sunhy Biology Co</t>
  </si>
  <si>
    <r>
      <t>Max phytase dose</t>
    </r>
    <r>
      <rPr>
        <vertAlign val="superscript"/>
        <sz val="10"/>
        <color theme="1"/>
        <rFont val="Arial"/>
        <family val="2"/>
      </rPr>
      <t>3</t>
    </r>
  </si>
  <si>
    <t>Data is summarized from manufacturer provided data reporting measures of bone mineralization.</t>
  </si>
  <si>
    <t>Max phytase dose where bone mineralization data is available</t>
  </si>
  <si>
    <t>Insert information in yellow cells</t>
  </si>
  <si>
    <t>Dietary phytate P, %</t>
  </si>
  <si>
    <t>Enter if known, if not known examples are listed in Ingredient Phytate P tab</t>
  </si>
  <si>
    <r>
      <t>Max release of phytate P, %</t>
    </r>
    <r>
      <rPr>
        <vertAlign val="superscript"/>
        <sz val="10"/>
        <color theme="1"/>
        <rFont val="Arial"/>
        <family val="2"/>
      </rPr>
      <t>1</t>
    </r>
  </si>
  <si>
    <r>
      <t>Standardized total tract digestible P (STTD P) and available P release, %</t>
    </r>
    <r>
      <rPr>
        <vertAlign val="superscript"/>
        <sz val="12"/>
        <color theme="1"/>
        <rFont val="Arial"/>
        <family val="2"/>
      </rPr>
      <t>2</t>
    </r>
  </si>
  <si>
    <t>Phytase units/kg</t>
  </si>
  <si>
    <t>Manufacturer reported assay</t>
  </si>
  <si>
    <t>STTD P release, %</t>
  </si>
  <si>
    <t xml:space="preserve">100% of the phytate P does not become digestible even when adequate phytase is available. </t>
  </si>
  <si>
    <t>We have entered a default of 70% to provide an estimate of the potential amount of the dietary phytate P that can be released if adequate phytase is available.</t>
  </si>
  <si>
    <r>
      <t>Max release of phytate P</t>
    </r>
    <r>
      <rPr>
        <vertAlign val="superscript"/>
        <sz val="12"/>
        <color theme="1"/>
        <rFont val="Arial"/>
        <family val="2"/>
      </rPr>
      <t>1</t>
    </r>
  </si>
  <si>
    <t>Select desired product</t>
  </si>
  <si>
    <t>Phytase product concentration</t>
  </si>
  <si>
    <t>Phytase units/gram</t>
  </si>
  <si>
    <t>Max phytase level/kg providing release</t>
  </si>
  <si>
    <t>Based on available bone mineralization data</t>
  </si>
  <si>
    <t>Phytase units desired in diet</t>
  </si>
  <si>
    <t>Phytase units/lb</t>
  </si>
  <si>
    <t>Amount of phytase product in the diet, g/ton</t>
  </si>
  <si>
    <t>Amount of phytase product in the diet, lb/ton</t>
  </si>
  <si>
    <r>
      <t>Maximum STTD P release from phytate P, %</t>
    </r>
    <r>
      <rPr>
        <vertAlign val="superscript"/>
        <sz val="12"/>
        <color theme="1"/>
        <rFont val="Arial"/>
        <family val="2"/>
      </rPr>
      <t>2</t>
    </r>
  </si>
  <si>
    <r>
      <t>Maximum aP release from phytate P, %</t>
    </r>
    <r>
      <rPr>
        <vertAlign val="superscript"/>
        <sz val="12"/>
        <color theme="1"/>
        <rFont val="Arial"/>
        <family val="2"/>
      </rPr>
      <t>2</t>
    </r>
  </si>
  <si>
    <t>Note on Phytate P</t>
  </si>
  <si>
    <t>Note on release</t>
  </si>
  <si>
    <t>Standardized total tract digestible P (STTD P) release, %</t>
  </si>
  <si>
    <t>Based on dietary phytate P level and max release of phytate P</t>
  </si>
  <si>
    <t>Available P</t>
  </si>
  <si>
    <t>STTD P</t>
  </si>
  <si>
    <t>Phosphorous form</t>
  </si>
  <si>
    <t>Desired release, %</t>
  </si>
  <si>
    <r>
      <t>Maximum release from phytate P, %</t>
    </r>
    <r>
      <rPr>
        <vertAlign val="superscript"/>
        <sz val="12"/>
        <color theme="1"/>
        <rFont val="Arial"/>
        <family val="2"/>
      </rPr>
      <t>2</t>
    </r>
  </si>
  <si>
    <t>Limit of selected</t>
  </si>
  <si>
    <t>Phytase units/kg required for desired release</t>
  </si>
  <si>
    <t>Guaraneteed potency per lb premix</t>
  </si>
  <si>
    <t>Based on available bone ash data</t>
  </si>
  <si>
    <t>Diet 1</t>
  </si>
  <si>
    <t>Diet 2</t>
  </si>
  <si>
    <t>Diet 3</t>
  </si>
  <si>
    <t>Diet 4</t>
  </si>
  <si>
    <t>Diet 5</t>
  </si>
  <si>
    <t>Diet 6</t>
  </si>
  <si>
    <t>Diet 7</t>
  </si>
  <si>
    <t>Premix inclusion, lb/ton</t>
  </si>
  <si>
    <r>
      <t>Dietary phytate P, %</t>
    </r>
    <r>
      <rPr>
        <vertAlign val="superscript"/>
        <sz val="12"/>
        <color theme="1"/>
        <rFont val="Arial"/>
        <family val="2"/>
      </rPr>
      <t>3</t>
    </r>
  </si>
  <si>
    <t>Phytase level/kg diet</t>
  </si>
  <si>
    <t>Phytase level/lb diet</t>
  </si>
  <si>
    <t>Enter if known, if not known examples are listed in Ingredient Phytate P tab for various production stages</t>
  </si>
  <si>
    <t>Phytate P Ingredient Loading Values</t>
  </si>
  <si>
    <t>NRC, 2012</t>
  </si>
  <si>
    <t>Stein Laboratory, University of Illinois</t>
  </si>
  <si>
    <t>Based on NRC (2012) loading values</t>
  </si>
  <si>
    <t>Ingredient</t>
  </si>
  <si>
    <t>Phytate P, %</t>
  </si>
  <si>
    <t>n</t>
  </si>
  <si>
    <t>Estimated phytate P levels for various stages</t>
  </si>
  <si>
    <t>Barley</t>
  </si>
  <si>
    <t>Bakery meal</t>
  </si>
  <si>
    <t>Diet</t>
  </si>
  <si>
    <t>Barley, Hulless</t>
  </si>
  <si>
    <t>Phase 1 Nursery diet</t>
  </si>
  <si>
    <t>0.15-0.16</t>
  </si>
  <si>
    <t>Beans, Faba</t>
  </si>
  <si>
    <t>Canola expellers</t>
  </si>
  <si>
    <t>Phase 2 Nursery diet</t>
  </si>
  <si>
    <t>0.21-0.23</t>
  </si>
  <si>
    <t>Brewers Grain</t>
  </si>
  <si>
    <t>Canola meal</t>
  </si>
  <si>
    <t>Phase 3 Nursery diet</t>
  </si>
  <si>
    <t>0.23-0.25</t>
  </si>
  <si>
    <t>Canola, Full Fat</t>
  </si>
  <si>
    <t>Copra expellers</t>
  </si>
  <si>
    <t>Early finisher</t>
  </si>
  <si>
    <t>0.24-0.26</t>
  </si>
  <si>
    <t>Canola Meal, Expelled</t>
  </si>
  <si>
    <t>Copra meal</t>
  </si>
  <si>
    <t>Late finisher</t>
  </si>
  <si>
    <t>0.23-0.24</t>
  </si>
  <si>
    <t>Canola Meal, Solvent Extracted</t>
  </si>
  <si>
    <t>Corn</t>
  </si>
  <si>
    <t>Gestation</t>
  </si>
  <si>
    <t>Casava Meal</t>
  </si>
  <si>
    <t>Corn, DDGS, high-oil</t>
  </si>
  <si>
    <t>Lactation</t>
  </si>
  <si>
    <t>0.25-0.26</t>
  </si>
  <si>
    <t>Citrus Pulp</t>
  </si>
  <si>
    <t>Corn, DDGS, mid-oil</t>
  </si>
  <si>
    <t>Copra Meal</t>
  </si>
  <si>
    <t>Corn, DDGS, low-oil</t>
  </si>
  <si>
    <t>Corn, Yellow Dent</t>
  </si>
  <si>
    <t>Corn, HPDDG</t>
  </si>
  <si>
    <t>Corn, Nutridense</t>
  </si>
  <si>
    <t>Corn germ</t>
  </si>
  <si>
    <t>Corn DDGS, &gt;10% Oil</t>
  </si>
  <si>
    <t>Corn germ meal</t>
  </si>
  <si>
    <t>Corn DDGS, &gt;6 and &lt;9% Oil</t>
  </si>
  <si>
    <t>Estimated*</t>
  </si>
  <si>
    <t>Corn gluten feed</t>
  </si>
  <si>
    <t>Corn DDGS, &lt;4% Oil</t>
  </si>
  <si>
    <t>Corn gluten meal</t>
  </si>
  <si>
    <t>Corn HP DDG</t>
  </si>
  <si>
    <t>Corn, hominy feed</t>
  </si>
  <si>
    <t>Corn Germ</t>
  </si>
  <si>
    <t>Cottonseed meal</t>
  </si>
  <si>
    <t>Corn Gluten Feed</t>
  </si>
  <si>
    <t>Field peas</t>
  </si>
  <si>
    <t>Corn Grits, Hominy Feed</t>
  </si>
  <si>
    <t>Hybrid rye</t>
  </si>
  <si>
    <t>Lupins</t>
  </si>
  <si>
    <t>Lemna protein concentrate</t>
  </si>
  <si>
    <t>Molasses, Sugarcane</t>
  </si>
  <si>
    <t>Oats</t>
  </si>
  <si>
    <t>Palm kernel expellers</t>
  </si>
  <si>
    <t>Peas, Field Peas</t>
  </si>
  <si>
    <t>Palm kernel meal</t>
  </si>
  <si>
    <t>Rice</t>
  </si>
  <si>
    <t>Potato protein concentrate (isolate)</t>
  </si>
  <si>
    <t>Rice Bran</t>
  </si>
  <si>
    <t>Rice bran</t>
  </si>
  <si>
    <t>Rice, Broken</t>
  </si>
  <si>
    <t>Rice bran, defatted</t>
  </si>
  <si>
    <t>Rye</t>
  </si>
  <si>
    <t>Rice mill feed</t>
  </si>
  <si>
    <t>Sesame Meal</t>
  </si>
  <si>
    <t>Rice, broken</t>
  </si>
  <si>
    <t>Sorghum</t>
  </si>
  <si>
    <t>Rice, brown</t>
  </si>
  <si>
    <t>Soybeans, Full Fat</t>
  </si>
  <si>
    <t>Soybean Meal, Solvent Extracted</t>
  </si>
  <si>
    <t>Soy protein concentrate</t>
  </si>
  <si>
    <t>Soybean Meal, Dehull, Sol Extr</t>
  </si>
  <si>
    <t>Soybean meal, dehulled (CP ≥ 47%)</t>
  </si>
  <si>
    <t>Soybean Hulls</t>
  </si>
  <si>
    <t>Soybean meal, dehulled (CP &lt; 47%)</t>
  </si>
  <si>
    <t>Sunflower Meal, Solvent Extracted</t>
  </si>
  <si>
    <t>Soybean expellers</t>
  </si>
  <si>
    <t>Sunflower Meal, Dehulled, Solvent Extr</t>
  </si>
  <si>
    <t>Soybean meal, fermented</t>
  </si>
  <si>
    <t>Triticale</t>
  </si>
  <si>
    <t>Sugar beet pulp</t>
  </si>
  <si>
    <t>Wheat, Hard Red</t>
  </si>
  <si>
    <t>Sunflower expellers</t>
  </si>
  <si>
    <t>Wheat, Soft Red</t>
  </si>
  <si>
    <t>Sunflower meal, partially dehulled</t>
  </si>
  <si>
    <t>Wheat Bran</t>
  </si>
  <si>
    <t>Sunflower, full fat</t>
  </si>
  <si>
    <t>Wheat Middlings</t>
  </si>
  <si>
    <t>Wheat DDGS</t>
  </si>
  <si>
    <t>Wheat</t>
  </si>
  <si>
    <t>* Estimated from high oil DDGS.</t>
  </si>
  <si>
    <t>Wheat germ</t>
  </si>
  <si>
    <t>Wheat, hard red</t>
  </si>
  <si>
    <t>Wheat, soft red</t>
  </si>
  <si>
    <t>Yeast, brewers</t>
  </si>
  <si>
    <t>Yeast, torula yeast</t>
  </si>
  <si>
    <t>NON-LINEAR FUNCTION</t>
  </si>
  <si>
    <t>Regression Coefficients</t>
  </si>
  <si>
    <t>aP release, %</t>
  </si>
  <si>
    <t>Phytase</t>
  </si>
  <si>
    <t>a</t>
  </si>
  <si>
    <t>b</t>
  </si>
  <si>
    <t>Max FTU</t>
  </si>
  <si>
    <t>Max aP release</t>
  </si>
  <si>
    <t>Max STTD P release</t>
  </si>
  <si>
    <t>Added 8/21/2025</t>
  </si>
  <si>
    <t>Added 5/27/2025</t>
  </si>
  <si>
    <t>Added 11/3/2023</t>
  </si>
  <si>
    <t>Updated 11/8/2023</t>
  </si>
  <si>
    <t>Empirical</t>
  </si>
  <si>
    <t>Never formally listed on calculator.</t>
  </si>
  <si>
    <t>Ronozyme HiPhos</t>
  </si>
  <si>
    <t>Removed on 9/18/2024; Replaced by HiPhorius</t>
  </si>
  <si>
    <t>Empirical phytase (ADM) was requested to be excluded from this calculator by request of manufacturer</t>
  </si>
  <si>
    <t>Requested to still be listed on premix specification sheet</t>
  </si>
  <si>
    <t>Update date:</t>
  </si>
  <si>
    <t>Added Microtech VTR phytase. Bone ash percentage data based on Navales et al. 2024 Midwest ASAS abstract</t>
  </si>
  <si>
    <t>Updated the release equations for Natuphos E. Included 2 additional datasets that include bone mineralization measurs</t>
  </si>
  <si>
    <t>Considered update to the release equations for Smizyme. Included 2 additional datasets (She et al., 2017; Junhao et al., 2015)</t>
  </si>
  <si>
    <t>Removed Ronozyme HiPhos and replaced with HiPhorius</t>
  </si>
  <si>
    <t>Added Allzyme Swine HC</t>
  </si>
  <si>
    <t>Stick with Smizyme release curve using 2 experiments - Wensley et al., 2020 and Gaffied et al., 2023</t>
  </si>
  <si>
    <t>Updated Smizyme equations. Wensley 2020 (using 2 manufacturer recommended data points); Gaffield 2023 Journal paper (not swine day anymore)</t>
  </si>
  <si>
    <t>Vitamin premix with phytase</t>
  </si>
  <si>
    <t>@ 1.5 lb/ton inclusion</t>
  </si>
  <si>
    <t>@ 5 lb/ton inclusion</t>
  </si>
  <si>
    <t>FTU</t>
  </si>
  <si>
    <t>Total FTU</t>
  </si>
  <si>
    <t>Expected</t>
  </si>
  <si>
    <t>Short Name</t>
  </si>
  <si>
    <t>KSU Name</t>
  </si>
  <si>
    <t>per lb premix</t>
  </si>
  <si>
    <t>@ 1.5 lb inclusion</t>
  </si>
  <si>
    <t>FTU/kg</t>
  </si>
  <si>
    <t>release of STTD P, %</t>
  </si>
  <si>
    <t>release of aP, %</t>
  </si>
  <si>
    <t>@ 5 lb inclusion</t>
  </si>
  <si>
    <t>FTU level providing max release</t>
  </si>
  <si>
    <t>Allzyme Swine HC (Alltech)</t>
  </si>
  <si>
    <t>Axtra PHY GOLD (iff);</t>
  </si>
  <si>
    <t>Empirical (ADM)</t>
  </si>
  <si>
    <t>Grainzyme (Agrivida)</t>
  </si>
  <si>
    <t>Microtech (Guangdong VTR Bio-Tech)</t>
  </si>
  <si>
    <t>Natuphos E 5,000 G (BASF)</t>
  </si>
  <si>
    <t>OptiPhos Plus (Huevepharma)</t>
  </si>
  <si>
    <t>Quantum Blue G (AB Vista)</t>
  </si>
  <si>
    <t>Smizyme Thermostable (Origination)</t>
  </si>
  <si>
    <t>Sunphase HT (Wuhan Sunhy Biology Co.)</t>
  </si>
  <si>
    <t>Sow VTM</t>
  </si>
  <si>
    <t>@ 10 lb/ton inclusion</t>
  </si>
  <si>
    <t>@ 10 lb inclusion</t>
  </si>
  <si>
    <t>FTU/kg diet</t>
  </si>
  <si>
    <t>Starter Base Mix</t>
  </si>
  <si>
    <t>@ 65 lb inclusion</t>
  </si>
  <si>
    <t>Sow Base Mix</t>
  </si>
  <si>
    <t>@ 75 lb inclusion</t>
  </si>
  <si>
    <t>Range of 35-50</t>
  </si>
  <si>
    <t>GF Base Mix</t>
  </si>
  <si>
    <t>@ 50 lb inclusion</t>
  </si>
  <si>
    <t>Range of 35-45</t>
  </si>
  <si>
    <t>GF DDGS Base Mix</t>
  </si>
  <si>
    <t>Updated 11/22/2025</t>
  </si>
  <si>
    <t>SuperPhy</t>
  </si>
  <si>
    <t>Hanley International</t>
  </si>
  <si>
    <t>&gt; Max release. Bone mineralization data not available for this level of P release.</t>
  </si>
  <si>
    <r>
      <t>&gt; Max</t>
    </r>
    <r>
      <rPr>
        <vertAlign val="superscript"/>
        <sz val="10"/>
        <color theme="5" tint="-0.249977111117893"/>
        <rFont val="Arial"/>
        <family val="2"/>
      </rPr>
      <t>2</t>
    </r>
  </si>
  <si>
    <t>SuperPhy (Hanley International)</t>
  </si>
  <si>
    <t>Added 12/14/2025</t>
  </si>
  <si>
    <t>Updated 12/15/2025; Gaffield and modified Wensley equations</t>
  </si>
  <si>
    <t>Rounded to 1,000</t>
  </si>
  <si>
    <t>1) Goal seek this to 0.125</t>
  </si>
  <si>
    <t>2) By changing this.</t>
  </si>
  <si>
    <t>For Spec Sheet</t>
  </si>
  <si>
    <t>Rounded to 100</t>
  </si>
  <si>
    <t>Axtra PHY GOLD (iff)</t>
  </si>
  <si>
    <t>HiPhorius (Novonesis)</t>
  </si>
  <si>
    <t>Updated Smizyme equations, Modified Wensley and Gaffield to be used. Added SuperPhy. Updated release equation for Optiphos plus</t>
  </si>
  <si>
    <t>August 2026</t>
  </si>
  <si>
    <t>Novonesis</t>
  </si>
  <si>
    <t>2026 KSU Phytase Calculator - Phytase release table</t>
  </si>
  <si>
    <t>2026 KSU Phytase Calculator - Phytase inclusion table</t>
  </si>
  <si>
    <t>2026 KSU Phytase Calculator - Product Inclusion Calculator</t>
  </si>
  <si>
    <t>2026 KSU Phytase Calculator - Release Calculator</t>
  </si>
  <si>
    <t>2026 KSU Phytase Calculator - Premix Calculator</t>
  </si>
  <si>
    <t>Update manufacturer of Hiphorius from DSM to Novonesis.</t>
  </si>
  <si>
    <t>Last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</si>
</sst>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_(* #,##0_);_(* \(#,##0\);_(* &quot;-&quot;??_);_(@_)"/>
    <numFmt numFmtId="167" formatCode="0.000000000"/>
    <numFmt numFmtId="168" formatCode="0.0000"/>
  </numFmts>
  <fonts count="38"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Arial"/>
      <family val="2"/>
    </font>
    <font>
      <sz val="14"/>
      <color theme="1"/>
      <name val="Arial"/>
      <family val="2"/>
    </font>
    <font>
      <b/>
      <sz val="18"/>
      <color theme="1"/>
      <name val="Calibri"/>
      <family val="2"/>
      <scheme val="minor"/>
    </font>
    <font>
      <sz val="12"/>
      <color theme="1"/>
      <name val="Calibri"/>
      <family val="2"/>
      <scheme val="minor"/>
    </font>
    <font>
      <sz val="20"/>
      <color theme="1"/>
      <name val="Arial"/>
      <family val="2"/>
    </font>
    <font>
      <b/>
      <sz val="30"/>
      <color rgb="FF4E2981"/>
      <name val="Calibri"/>
      <family val="2"/>
    </font>
    <font>
      <sz val="8"/>
      <color theme="1"/>
      <name val="Arial"/>
      <family val="2"/>
    </font>
    <font>
      <sz val="12"/>
      <color rgb="FFFF0000"/>
      <name val="Arial"/>
      <family val="2"/>
    </font>
    <font>
      <sz val="20"/>
      <color theme="1"/>
      <name val="Calibri"/>
      <family val="2"/>
      <scheme val="minor"/>
    </font>
    <font>
      <vertAlign val="superscript"/>
      <sz val="12"/>
      <name val="Arial"/>
      <family val="2"/>
    </font>
    <font>
      <b/>
      <sz val="28"/>
      <color rgb="FF4E2981"/>
      <name val="Calibri"/>
      <family val="2"/>
    </font>
    <font>
      <sz val="10"/>
      <color theme="1"/>
      <name val="Arial"/>
      <family val="2"/>
    </font>
    <font>
      <sz val="9"/>
      <color theme="1"/>
      <name val="Arial"/>
      <family val="2"/>
    </font>
    <font>
      <sz val="10"/>
      <color rgb="FF000000"/>
      <name val="Arial"/>
      <family val="2"/>
    </font>
    <font>
      <sz val="10"/>
      <color theme="5" tint="-0.249977111117893"/>
      <name val="Arial"/>
      <family val="2"/>
    </font>
    <font>
      <vertAlign val="superscript"/>
      <sz val="10"/>
      <color theme="5" tint="-0.249977111117893"/>
      <name val="Arial"/>
      <family val="2"/>
    </font>
    <font>
      <b/>
      <sz val="18"/>
      <color rgb="FF4E2981"/>
      <name val="Calibri"/>
      <family val="2"/>
    </font>
    <font>
      <vertAlign val="superscript"/>
      <sz val="10"/>
      <color theme="1"/>
      <name val="Arial"/>
      <family val="2"/>
    </font>
    <font>
      <b/>
      <sz val="18"/>
      <color theme="1"/>
      <name val="Arial"/>
      <family val="2"/>
    </font>
    <font>
      <vertAlign val="superscript"/>
      <sz val="12"/>
      <color theme="1"/>
      <name val="Arial"/>
      <family val="2"/>
    </font>
    <font>
      <sz val="14"/>
      <color theme="1"/>
      <name val="Calibri"/>
      <family val="2"/>
    </font>
    <font>
      <b/>
      <sz val="14"/>
      <color theme="1"/>
      <name val="Arial"/>
      <family val="2"/>
    </font>
    <font>
      <b/>
      <sz val="12"/>
      <color theme="1"/>
      <name val="Arial"/>
      <family val="2"/>
    </font>
    <font>
      <b/>
      <sz val="11"/>
      <color theme="1"/>
      <name val="Arial"/>
      <family val="2"/>
    </font>
    <font>
      <sz val="9"/>
      <color rgb="FF000000"/>
      <name val="Arial"/>
      <family val="2"/>
    </font>
    <font>
      <sz val="14"/>
      <color theme="1"/>
      <name val="Calibri"/>
      <family val="2"/>
      <scheme val="minor"/>
    </font>
    <font>
      <b/>
      <sz val="14"/>
      <color rgb="FF4E2D7F"/>
      <name val="Arial"/>
      <family val="2"/>
    </font>
    <font>
      <sz val="18"/>
      <color theme="1"/>
      <name val="Calibri"/>
      <family val="2"/>
      <scheme val="minor"/>
    </font>
    <font>
      <b/>
      <sz val="24"/>
      <color rgb="FF4E2981"/>
      <name val="Calibri"/>
      <family val="2"/>
    </font>
    <font>
      <b/>
      <sz val="14"/>
      <color rgb="FFFF0000"/>
      <name val="Arial"/>
      <family val="2"/>
    </font>
    <font>
      <i/>
      <sz val="14"/>
      <color theme="1"/>
      <name val="Arial"/>
      <family val="2"/>
    </font>
    <font>
      <sz val="18"/>
      <color theme="1"/>
      <name val="Arial"/>
      <family val="2"/>
    </font>
    <font>
      <b/>
      <sz val="12"/>
      <color theme="1"/>
      <name val="Calibri"/>
      <family val="2"/>
      <scheme val="minor"/>
    </font>
    <font>
      <b/>
      <sz val="20"/>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2F2F2"/>
        <bgColor rgb="FF000000"/>
      </patternFill>
    </fill>
    <fill>
      <patternFill patternType="solid">
        <fgColor rgb="FFFFFD78"/>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s>
  <cellStyleXfs count="7">
    <xf numFmtId="0" fontId="0" fillId="0" borderId="0"/>
    <xf numFmtId="9" fontId="7" fillId="0" borderId="0" applyFont="0" applyFill="0" applyBorder="0" applyAlignment="0" applyProtection="0"/>
    <xf numFmtId="43" fontId="7" fillId="0" borderId="0" applyFont="0" applyFill="0" applyBorder="0" applyAlignment="0" applyProtection="0"/>
    <xf numFmtId="0" fontId="2" fillId="0" borderId="0"/>
    <xf numFmtId="0" fontId="7" fillId="0" borderId="0"/>
    <xf numFmtId="43" fontId="2" fillId="0" borderId="0" applyFont="0" applyFill="0" applyBorder="0" applyAlignment="0" applyProtection="0"/>
    <xf numFmtId="9" fontId="2" fillId="0" borderId="0" applyFont="0" applyFill="0" applyBorder="0" applyAlignment="0" applyProtection="0"/>
  </cellStyleXfs>
  <cellXfs count="209">
    <xf numFmtId="0" fontId="0" fillId="0" borderId="0" xfId="0"/>
    <xf numFmtId="0" fontId="3" fillId="4" borderId="0" xfId="0" applyFont="1" applyFill="1" applyBorder="1"/>
    <xf numFmtId="0" fontId="5" fillId="2" borderId="0" xfId="0" applyFont="1" applyFill="1"/>
    <xf numFmtId="0" fontId="5" fillId="2" borderId="0" xfId="0" applyFont="1" applyFill="1" applyBorder="1"/>
    <xf numFmtId="0" fontId="0" fillId="2" borderId="0" xfId="0" applyFill="1"/>
    <xf numFmtId="0" fontId="5" fillId="2" borderId="0" xfId="0" applyFont="1" applyFill="1" applyAlignment="1">
      <alignment vertical="center"/>
    </xf>
    <xf numFmtId="0" fontId="4" fillId="2" borderId="0" xfId="0" applyFont="1" applyFill="1" applyAlignment="1">
      <alignment horizontal="center"/>
    </xf>
    <xf numFmtId="2" fontId="5" fillId="2" borderId="1" xfId="0" applyNumberFormat="1" applyFont="1" applyFill="1" applyBorder="1" applyAlignment="1">
      <alignment horizontal="center" vertical="center"/>
    </xf>
    <xf numFmtId="0" fontId="5" fillId="2" borderId="3" xfId="0" applyFont="1" applyFill="1" applyBorder="1" applyAlignment="1">
      <alignment horizontal="right" vertical="center"/>
    </xf>
    <xf numFmtId="0" fontId="0" fillId="2" borderId="0" xfId="0" applyFill="1" applyBorder="1"/>
    <xf numFmtId="2" fontId="5" fillId="2" borderId="0" xfId="0" applyNumberFormat="1" applyFont="1" applyFill="1" applyBorder="1" applyAlignment="1">
      <alignment horizontal="center" vertical="center"/>
    </xf>
    <xf numFmtId="2" fontId="5" fillId="3" borderId="0" xfId="0" applyNumberFormat="1" applyFont="1" applyFill="1" applyBorder="1" applyAlignment="1">
      <alignment horizontal="center" vertical="center"/>
    </xf>
    <xf numFmtId="2" fontId="5" fillId="2" borderId="6" xfId="0" applyNumberFormat="1" applyFont="1" applyFill="1" applyBorder="1" applyAlignment="1">
      <alignment horizontal="center" vertical="center"/>
    </xf>
    <xf numFmtId="0" fontId="6" fillId="0" borderId="0" xfId="0" applyFont="1"/>
    <xf numFmtId="0" fontId="5" fillId="2" borderId="0" xfId="0" applyFont="1" applyFill="1" applyAlignment="1">
      <alignment horizontal="center"/>
    </xf>
    <xf numFmtId="0" fontId="5" fillId="2" borderId="0" xfId="0" applyFont="1" applyFill="1" applyBorder="1" applyAlignment="1">
      <alignment horizontal="right" vertical="center"/>
    </xf>
    <xf numFmtId="0" fontId="5" fillId="2" borderId="0" xfId="0" applyFont="1" applyFill="1" applyBorder="1" applyAlignment="1">
      <alignment horizontal="center"/>
    </xf>
    <xf numFmtId="0" fontId="0" fillId="0" borderId="0" xfId="0" applyBorder="1" applyAlignment="1">
      <alignment horizontal="center"/>
    </xf>
    <xf numFmtId="0" fontId="0" fillId="0" borderId="0" xfId="0" applyBorder="1"/>
    <xf numFmtId="165" fontId="0" fillId="0" borderId="0" xfId="0" applyNumberFormat="1" applyBorder="1" applyAlignment="1">
      <alignment horizontal="center"/>
    </xf>
    <xf numFmtId="0" fontId="10" fillId="2" borderId="0" xfId="0" applyFont="1" applyFill="1" applyAlignment="1">
      <alignment vertical="top"/>
    </xf>
    <xf numFmtId="1" fontId="5" fillId="2" borderId="0" xfId="0" applyNumberFormat="1" applyFont="1" applyFill="1" applyBorder="1" applyAlignment="1">
      <alignment horizontal="left" vertical="center"/>
    </xf>
    <xf numFmtId="1" fontId="5" fillId="3" borderId="0" xfId="0" applyNumberFormat="1" applyFont="1" applyFill="1" applyBorder="1" applyAlignment="1">
      <alignment horizontal="left" vertical="center"/>
    </xf>
    <xf numFmtId="1" fontId="5" fillId="2" borderId="6" xfId="0" applyNumberFormat="1" applyFont="1" applyFill="1" applyBorder="1" applyAlignment="1">
      <alignment horizontal="left" vertical="center"/>
    </xf>
    <xf numFmtId="1" fontId="5" fillId="2" borderId="1" xfId="0" applyNumberFormat="1" applyFont="1" applyFill="1" applyBorder="1" applyAlignment="1">
      <alignment horizontal="left" vertical="center"/>
    </xf>
    <xf numFmtId="0" fontId="4" fillId="2" borderId="0" xfId="0" applyFont="1" applyFill="1" applyAlignment="1">
      <alignment vertical="center"/>
    </xf>
    <xf numFmtId="0" fontId="12" fillId="2" borderId="0" xfId="0" applyFont="1" applyFill="1"/>
    <xf numFmtId="0" fontId="5" fillId="2" borderId="0" xfId="0" applyFont="1" applyFill="1" applyBorder="1" applyAlignment="1">
      <alignment horizontal="right"/>
    </xf>
    <xf numFmtId="0" fontId="0" fillId="2" borderId="0" xfId="0" applyFont="1" applyFill="1"/>
    <xf numFmtId="0" fontId="4" fillId="2" borderId="0" xfId="0" applyFont="1" applyFill="1"/>
    <xf numFmtId="0" fontId="4" fillId="2" borderId="1" xfId="0" applyFont="1" applyFill="1" applyBorder="1" applyAlignment="1">
      <alignment horizontal="center" wrapText="1"/>
    </xf>
    <xf numFmtId="0" fontId="15" fillId="2" borderId="0" xfId="0" applyFont="1" applyFill="1" applyBorder="1" applyAlignment="1">
      <alignment horizontal="center" wrapText="1"/>
    </xf>
    <xf numFmtId="0" fontId="15" fillId="2" borderId="1" xfId="0" applyFont="1" applyFill="1" applyBorder="1" applyAlignment="1">
      <alignment horizontal="center" wrapText="1"/>
    </xf>
    <xf numFmtId="2" fontId="15" fillId="2" borderId="0" xfId="0" applyNumberFormat="1" applyFont="1" applyFill="1" applyAlignment="1">
      <alignment horizontal="center" vertical="center"/>
    </xf>
    <xf numFmtId="1" fontId="15" fillId="2" borderId="0" xfId="0" applyNumberFormat="1" applyFont="1" applyFill="1" applyAlignment="1">
      <alignment horizontal="center" vertical="center"/>
    </xf>
    <xf numFmtId="2" fontId="15" fillId="3" borderId="0" xfId="0" applyNumberFormat="1" applyFont="1" applyFill="1" applyAlignment="1">
      <alignment horizontal="center" vertical="center"/>
    </xf>
    <xf numFmtId="1" fontId="15" fillId="3" borderId="0" xfId="0" applyNumberFormat="1" applyFont="1" applyFill="1" applyAlignment="1">
      <alignment horizontal="center" vertical="center"/>
    </xf>
    <xf numFmtId="1" fontId="18" fillId="2" borderId="0" xfId="0" applyNumberFormat="1" applyFont="1" applyFill="1" applyAlignment="1">
      <alignment horizontal="center" vertical="center"/>
    </xf>
    <xf numFmtId="1" fontId="18" fillId="3" borderId="0" xfId="0" applyNumberFormat="1" applyFont="1" applyFill="1" applyAlignment="1">
      <alignment horizontal="center" vertical="center"/>
    </xf>
    <xf numFmtId="2" fontId="15" fillId="2" borderId="1" xfId="0" applyNumberFormat="1" applyFont="1" applyFill="1" applyBorder="1" applyAlignment="1">
      <alignment horizontal="center" vertical="center"/>
    </xf>
    <xf numFmtId="1" fontId="15" fillId="2" borderId="1" xfId="0" applyNumberFormat="1" applyFont="1" applyFill="1" applyBorder="1" applyAlignment="1">
      <alignment horizontal="center" vertical="center"/>
    </xf>
    <xf numFmtId="1" fontId="18" fillId="2" borderId="1" xfId="0" applyNumberFormat="1" applyFont="1" applyFill="1" applyBorder="1" applyAlignment="1">
      <alignment horizontal="center" vertical="center"/>
    </xf>
    <xf numFmtId="1" fontId="15" fillId="3" borderId="1" xfId="0" applyNumberFormat="1" applyFont="1" applyFill="1" applyBorder="1" applyAlignment="1">
      <alignment horizontal="center" vertical="center"/>
    </xf>
    <xf numFmtId="0" fontId="15" fillId="2" borderId="0" xfId="0" applyFont="1" applyFill="1" applyAlignment="1">
      <alignment vertical="top"/>
    </xf>
    <xf numFmtId="0" fontId="17" fillId="0" borderId="0" xfId="0" applyFont="1"/>
    <xf numFmtId="0" fontId="15" fillId="2" borderId="0" xfId="0" applyFont="1" applyFill="1"/>
    <xf numFmtId="1" fontId="15" fillId="3" borderId="4" xfId="0" applyNumberFormat="1" applyFont="1" applyFill="1" applyBorder="1" applyAlignment="1">
      <alignment horizontal="center" vertical="center"/>
    </xf>
    <xf numFmtId="2" fontId="15" fillId="3" borderId="4" xfId="0" applyNumberFormat="1" applyFont="1" applyFill="1" applyBorder="1" applyAlignment="1">
      <alignment horizontal="center" vertical="center"/>
    </xf>
    <xf numFmtId="1" fontId="15" fillId="2" borderId="0" xfId="0" applyNumberFormat="1" applyFont="1" applyFill="1" applyBorder="1" applyAlignment="1">
      <alignment horizontal="center" vertical="center"/>
    </xf>
    <xf numFmtId="2" fontId="15" fillId="2" borderId="0" xfId="0" applyNumberFormat="1" applyFont="1" applyFill="1" applyBorder="1" applyAlignment="1">
      <alignment horizontal="center" vertical="center"/>
    </xf>
    <xf numFmtId="1" fontId="15" fillId="3" borderId="0" xfId="0" applyNumberFormat="1" applyFont="1" applyFill="1" applyBorder="1" applyAlignment="1">
      <alignment horizontal="center" vertical="center"/>
    </xf>
    <xf numFmtId="2" fontId="15" fillId="3" borderId="0" xfId="0" applyNumberFormat="1" applyFont="1" applyFill="1" applyBorder="1" applyAlignment="1">
      <alignment horizontal="center" vertical="center"/>
    </xf>
    <xf numFmtId="1" fontId="15" fillId="2" borderId="6" xfId="0" applyNumberFormat="1" applyFont="1" applyFill="1" applyBorder="1" applyAlignment="1">
      <alignment horizontal="center" vertical="center"/>
    </xf>
    <xf numFmtId="2" fontId="15" fillId="2" borderId="6" xfId="0" applyNumberFormat="1" applyFont="1" applyFill="1" applyBorder="1" applyAlignment="1">
      <alignment horizontal="center" vertical="center"/>
    </xf>
    <xf numFmtId="1" fontId="15" fillId="3" borderId="8" xfId="0" applyNumberFormat="1" applyFont="1" applyFill="1" applyBorder="1" applyAlignment="1">
      <alignment horizontal="center" vertical="center"/>
    </xf>
    <xf numFmtId="0" fontId="24" fillId="4" borderId="0" xfId="0" applyFont="1" applyFill="1" applyBorder="1"/>
    <xf numFmtId="2" fontId="25" fillId="6" borderId="2" xfId="0" applyNumberFormat="1" applyFont="1" applyFill="1" applyBorder="1" applyAlignment="1" applyProtection="1">
      <alignment horizontal="center" vertical="center"/>
      <protection locked="0"/>
    </xf>
    <xf numFmtId="0" fontId="4" fillId="2" borderId="0" xfId="0" applyFont="1" applyFill="1" applyBorder="1"/>
    <xf numFmtId="0" fontId="4" fillId="2" borderId="0" xfId="0" applyFont="1" applyFill="1" applyAlignment="1">
      <alignment horizontal="right"/>
    </xf>
    <xf numFmtId="2" fontId="26" fillId="6" borderId="2" xfId="0" applyNumberFormat="1" applyFont="1" applyFill="1" applyBorder="1" applyAlignment="1" applyProtection="1">
      <alignment horizontal="center" vertical="center"/>
      <protection locked="0"/>
    </xf>
    <xf numFmtId="9" fontId="26" fillId="6" borderId="2" xfId="1" applyFont="1" applyFill="1" applyBorder="1" applyAlignment="1" applyProtection="1">
      <alignment horizontal="center" vertical="center"/>
      <protection locked="0"/>
    </xf>
    <xf numFmtId="0" fontId="15" fillId="2" borderId="0" xfId="0" applyFont="1" applyFill="1" applyBorder="1" applyAlignment="1">
      <alignment horizontal="center" vertical="center" wrapText="1"/>
    </xf>
    <xf numFmtId="0" fontId="15" fillId="2" borderId="0" xfId="0" applyFont="1" applyFill="1" applyAlignment="1">
      <alignment horizontal="right"/>
    </xf>
    <xf numFmtId="0" fontId="15" fillId="2" borderId="0" xfId="0" applyFont="1" applyFill="1" applyBorder="1" applyAlignment="1">
      <alignment horizontal="center"/>
    </xf>
    <xf numFmtId="0" fontId="16" fillId="2" borderId="0" xfId="0" applyFont="1" applyFill="1" applyAlignment="1">
      <alignment vertical="center"/>
    </xf>
    <xf numFmtId="0" fontId="28" fillId="0" borderId="0" xfId="0" applyFont="1" applyAlignment="1">
      <alignment vertical="center"/>
    </xf>
    <xf numFmtId="0" fontId="0" fillId="2" borderId="0" xfId="0" applyFont="1" applyFill="1" applyBorder="1"/>
    <xf numFmtId="0" fontId="4" fillId="2" borderId="0" xfId="0" applyFont="1" applyFill="1" applyBorder="1" applyAlignment="1">
      <alignment vertical="center"/>
    </xf>
    <xf numFmtId="0" fontId="29" fillId="2" borderId="0" xfId="0" applyFont="1" applyFill="1"/>
    <xf numFmtId="2" fontId="30" fillId="7" borderId="2" xfId="0" applyNumberFormat="1" applyFont="1" applyFill="1" applyBorder="1" applyAlignment="1">
      <alignment horizontal="center"/>
    </xf>
    <xf numFmtId="3" fontId="4" fillId="2" borderId="0" xfId="0" applyNumberFormat="1" applyFont="1" applyFill="1"/>
    <xf numFmtId="0" fontId="11" fillId="2" borderId="2" xfId="0" applyFont="1" applyFill="1" applyBorder="1"/>
    <xf numFmtId="0" fontId="11" fillId="2" borderId="2" xfId="0" applyFont="1" applyFill="1" applyBorder="1" applyAlignment="1">
      <alignment horizontal="center"/>
    </xf>
    <xf numFmtId="164" fontId="30" fillId="3" borderId="2" xfId="0" applyNumberFormat="1" applyFont="1" applyFill="1" applyBorder="1" applyAlignment="1">
      <alignment horizontal="center"/>
    </xf>
    <xf numFmtId="2" fontId="30" fillId="3" borderId="2" xfId="0" applyNumberFormat="1" applyFont="1" applyFill="1" applyBorder="1" applyAlignment="1">
      <alignment horizontal="center"/>
    </xf>
    <xf numFmtId="0" fontId="4" fillId="4" borderId="0" xfId="0" applyFont="1" applyFill="1" applyBorder="1" applyAlignment="1">
      <alignment horizontal="right"/>
    </xf>
    <xf numFmtId="1" fontId="30" fillId="7" borderId="2" xfId="0" applyNumberFormat="1" applyFont="1" applyFill="1" applyBorder="1" applyAlignment="1">
      <alignment horizontal="center"/>
    </xf>
    <xf numFmtId="0" fontId="11" fillId="2" borderId="2" xfId="0" applyFont="1" applyFill="1" applyBorder="1" applyAlignment="1">
      <alignment horizontal="center" vertical="center"/>
    </xf>
    <xf numFmtId="0" fontId="11" fillId="2" borderId="0" xfId="0" applyFont="1" applyFill="1" applyBorder="1"/>
    <xf numFmtId="0" fontId="11" fillId="2" borderId="0" xfId="0" applyFont="1" applyFill="1" applyBorder="1" applyAlignment="1">
      <alignment horizontal="center"/>
    </xf>
    <xf numFmtId="0" fontId="4" fillId="2" borderId="0" xfId="0" applyFont="1" applyFill="1" applyBorder="1" applyAlignment="1">
      <alignment horizontal="left"/>
    </xf>
    <xf numFmtId="2" fontId="33" fillId="0" borderId="0" xfId="0" applyNumberFormat="1" applyFont="1" applyFill="1" applyBorder="1" applyAlignment="1">
      <alignment horizontal="left"/>
    </xf>
    <xf numFmtId="0" fontId="5" fillId="2" borderId="0" xfId="0" applyFont="1" applyFill="1" applyAlignment="1">
      <alignment horizontal="right" vertical="center"/>
    </xf>
    <xf numFmtId="0" fontId="17" fillId="2" borderId="1" xfId="0" applyFont="1" applyFill="1" applyBorder="1" applyAlignment="1">
      <alignment horizontal="center" vertical="center" wrapText="1"/>
    </xf>
    <xf numFmtId="0" fontId="8" fillId="2" borderId="0" xfId="0" applyFont="1" applyFill="1" applyAlignment="1"/>
    <xf numFmtId="1" fontId="5" fillId="2" borderId="0" xfId="0" applyNumberFormat="1" applyFont="1" applyFill="1" applyBorder="1" applyAlignment="1">
      <alignment horizontal="center" vertical="center"/>
    </xf>
    <xf numFmtId="1" fontId="5" fillId="3" borderId="0" xfId="0" applyNumberFormat="1" applyFont="1" applyFill="1" applyBorder="1" applyAlignment="1">
      <alignment horizontal="center" vertical="center"/>
    </xf>
    <xf numFmtId="2" fontId="34" fillId="2" borderId="6" xfId="0" applyNumberFormat="1" applyFont="1" applyFill="1" applyBorder="1" applyAlignment="1">
      <alignment horizontal="center" vertical="center"/>
    </xf>
    <xf numFmtId="165" fontId="0" fillId="0" borderId="0" xfId="0" applyNumberFormat="1"/>
    <xf numFmtId="0" fontId="0" fillId="0" borderId="1" xfId="0" applyBorder="1"/>
    <xf numFmtId="14" fontId="0" fillId="0" borderId="0" xfId="0" applyNumberFormat="1"/>
    <xf numFmtId="0" fontId="36" fillId="0" borderId="6" xfId="0" applyFont="1" applyBorder="1"/>
    <xf numFmtId="49" fontId="0" fillId="2" borderId="0" xfId="0" applyNumberFormat="1" applyFill="1"/>
    <xf numFmtId="0" fontId="2" fillId="0" borderId="0" xfId="3"/>
    <xf numFmtId="0" fontId="37" fillId="0" borderId="0" xfId="3" applyFont="1"/>
    <xf numFmtId="0" fontId="2" fillId="0" borderId="0" xfId="3" applyAlignment="1">
      <alignment horizontal="center"/>
    </xf>
    <xf numFmtId="0" fontId="2" fillId="0" borderId="0" xfId="3" applyBorder="1"/>
    <xf numFmtId="0" fontId="2" fillId="0" borderId="0" xfId="3" applyFill="1" applyBorder="1"/>
    <xf numFmtId="0" fontId="7" fillId="0" borderId="2" xfId="4" applyBorder="1"/>
    <xf numFmtId="0" fontId="15" fillId="0" borderId="2" xfId="3" applyFont="1" applyBorder="1" applyAlignment="1">
      <alignment vertical="center" wrapText="1"/>
    </xf>
    <xf numFmtId="0" fontId="2" fillId="0" borderId="0" xfId="3" applyFill="1"/>
    <xf numFmtId="43" fontId="2" fillId="0" borderId="0" xfId="3" applyNumberFormat="1" applyFill="1"/>
    <xf numFmtId="0" fontId="0" fillId="0" borderId="2" xfId="0" applyBorder="1"/>
    <xf numFmtId="0" fontId="0" fillId="0" borderId="2" xfId="0" applyBorder="1" applyAlignment="1">
      <alignment horizontal="center"/>
    </xf>
    <xf numFmtId="165" fontId="0" fillId="0" borderId="2" xfId="0" applyNumberFormat="1" applyBorder="1" applyAlignment="1">
      <alignment horizontal="center"/>
    </xf>
    <xf numFmtId="0" fontId="0" fillId="10" borderId="2" xfId="0" applyFill="1" applyBorder="1"/>
    <xf numFmtId="0" fontId="0" fillId="10" borderId="2" xfId="0" applyFill="1" applyBorder="1" applyAlignment="1">
      <alignment horizontal="center"/>
    </xf>
    <xf numFmtId="165" fontId="0" fillId="10" borderId="2" xfId="0" applyNumberFormat="1" applyFill="1" applyBorder="1" applyAlignment="1">
      <alignment horizontal="center"/>
    </xf>
    <xf numFmtId="0" fontId="0" fillId="0" borderId="6" xfId="0" applyBorder="1" applyAlignment="1">
      <alignment horizontal="center"/>
    </xf>
    <xf numFmtId="0" fontId="0" fillId="10" borderId="16" xfId="0" applyFill="1" applyBorder="1"/>
    <xf numFmtId="0" fontId="0" fillId="10" borderId="16" xfId="0" applyFill="1" applyBorder="1" applyAlignment="1">
      <alignment horizontal="center"/>
    </xf>
    <xf numFmtId="165" fontId="0" fillId="10" borderId="16" xfId="0" applyNumberFormat="1" applyFill="1" applyBorder="1" applyAlignment="1">
      <alignment horizontal="center"/>
    </xf>
    <xf numFmtId="0" fontId="0" fillId="0" borderId="6" xfId="0" applyBorder="1"/>
    <xf numFmtId="0" fontId="7" fillId="0" borderId="16" xfId="4" applyBorder="1"/>
    <xf numFmtId="0" fontId="15" fillId="0" borderId="16" xfId="3" applyFont="1" applyBorder="1" applyAlignment="1">
      <alignment vertical="center" wrapText="1"/>
    </xf>
    <xf numFmtId="0" fontId="2" fillId="0" borderId="16" xfId="3" applyBorder="1"/>
    <xf numFmtId="165" fontId="0" fillId="9" borderId="16" xfId="6" applyNumberFormat="1" applyFont="1" applyFill="1" applyBorder="1"/>
    <xf numFmtId="0" fontId="2" fillId="0" borderId="6" xfId="3" applyBorder="1"/>
    <xf numFmtId="0" fontId="2" fillId="0" borderId="6" xfId="3" applyBorder="1" applyAlignment="1">
      <alignment horizontal="center"/>
    </xf>
    <xf numFmtId="0" fontId="2" fillId="0" borderId="6" xfId="3" applyFill="1" applyBorder="1"/>
    <xf numFmtId="165" fontId="0" fillId="8" borderId="16" xfId="6" applyNumberFormat="1" applyFont="1" applyFill="1" applyBorder="1"/>
    <xf numFmtId="165" fontId="0" fillId="9" borderId="13" xfId="6" applyNumberFormat="1" applyFont="1" applyFill="1" applyBorder="1"/>
    <xf numFmtId="165" fontId="0" fillId="9" borderId="15" xfId="6" applyNumberFormat="1" applyFont="1" applyFill="1" applyBorder="1"/>
    <xf numFmtId="0" fontId="2" fillId="0" borderId="0" xfId="3" quotePrefix="1" applyFill="1" applyBorder="1" applyAlignment="1">
      <alignment horizontal="center"/>
    </xf>
    <xf numFmtId="165" fontId="0" fillId="0" borderId="0" xfId="6" applyNumberFormat="1" applyFont="1" applyFill="1" applyBorder="1"/>
    <xf numFmtId="166" fontId="15" fillId="11" borderId="16" xfId="2" applyNumberFormat="1" applyFont="1" applyFill="1" applyBorder="1" applyAlignment="1">
      <alignment horizontal="center" vertical="center" wrapText="1"/>
    </xf>
    <xf numFmtId="166" fontId="0" fillId="9" borderId="16" xfId="2" applyNumberFormat="1" applyFont="1" applyFill="1" applyBorder="1"/>
    <xf numFmtId="166" fontId="15" fillId="11" borderId="2" xfId="2" applyNumberFormat="1" applyFont="1" applyFill="1" applyBorder="1" applyAlignment="1">
      <alignment horizontal="center" vertical="center" wrapText="1"/>
    </xf>
    <xf numFmtId="166" fontId="2" fillId="9" borderId="2" xfId="2" applyNumberFormat="1" applyFont="1" applyFill="1" applyBorder="1"/>
    <xf numFmtId="166" fontId="0" fillId="9" borderId="2" xfId="2" applyNumberFormat="1" applyFont="1" applyFill="1" applyBorder="1"/>
    <xf numFmtId="166" fontId="0" fillId="8" borderId="14" xfId="2" applyNumberFormat="1" applyFont="1" applyFill="1" applyBorder="1"/>
    <xf numFmtId="166" fontId="0" fillId="8" borderId="16" xfId="2" applyNumberFormat="1" applyFont="1" applyFill="1" applyBorder="1"/>
    <xf numFmtId="166" fontId="2" fillId="0" borderId="0" xfId="3" applyNumberFormat="1"/>
    <xf numFmtId="166" fontId="2" fillId="0" borderId="2" xfId="2" applyNumberFormat="1" applyFont="1" applyBorder="1"/>
    <xf numFmtId="166" fontId="0" fillId="0" borderId="2" xfId="2" applyNumberFormat="1" applyFont="1" applyBorder="1"/>
    <xf numFmtId="166" fontId="2" fillId="0" borderId="16" xfId="2" applyNumberFormat="1" applyFont="1" applyBorder="1"/>
    <xf numFmtId="166" fontId="0" fillId="0" borderId="16" xfId="2" applyNumberFormat="1" applyFont="1" applyBorder="1"/>
    <xf numFmtId="166" fontId="0" fillId="12" borderId="2" xfId="2" applyNumberFormat="1" applyFont="1" applyFill="1" applyBorder="1"/>
    <xf numFmtId="166" fontId="0" fillId="0" borderId="16" xfId="2" applyNumberFormat="1" applyFont="1" applyFill="1" applyBorder="1"/>
    <xf numFmtId="166" fontId="0" fillId="12" borderId="16" xfId="2" applyNumberFormat="1" applyFont="1" applyFill="1" applyBorder="1"/>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0" fillId="0" borderId="10" xfId="0" applyFill="1" applyBorder="1"/>
    <xf numFmtId="0" fontId="0" fillId="0" borderId="10" xfId="0" applyFill="1" applyBorder="1" applyAlignment="1">
      <alignment horizontal="center"/>
    </xf>
    <xf numFmtId="165" fontId="0" fillId="0" borderId="10" xfId="0" applyNumberFormat="1" applyFill="1" applyBorder="1" applyAlignment="1">
      <alignment horizontal="center"/>
    </xf>
    <xf numFmtId="0" fontId="4" fillId="2" borderId="0" xfId="0" applyFont="1" applyFill="1" applyBorder="1" applyAlignment="1">
      <alignment horizontal="center"/>
    </xf>
    <xf numFmtId="0" fontId="25" fillId="6" borderId="2" xfId="0" applyFont="1" applyFill="1" applyBorder="1" applyAlignment="1" applyProtection="1">
      <alignment horizontal="center" vertical="center"/>
      <protection locked="0"/>
    </xf>
    <xf numFmtId="0" fontId="4" fillId="2" borderId="0" xfId="0" applyFont="1" applyFill="1" applyBorder="1" applyAlignment="1">
      <alignment horizontal="right"/>
    </xf>
    <xf numFmtId="0" fontId="4" fillId="2" borderId="0" xfId="0" applyFont="1" applyFill="1" applyBorder="1" applyAlignment="1">
      <alignment horizontal="right" vertical="center"/>
    </xf>
    <xf numFmtId="9" fontId="25" fillId="6" borderId="2" xfId="1" applyFont="1" applyFill="1" applyBorder="1" applyAlignment="1" applyProtection="1">
      <alignment horizontal="center" vertical="center"/>
      <protection locked="0"/>
    </xf>
    <xf numFmtId="3" fontId="25" fillId="6" borderId="2" xfId="0" applyNumberFormat="1" applyFont="1" applyFill="1" applyBorder="1" applyAlignment="1" applyProtection="1">
      <alignment horizontal="center" vertical="center"/>
      <protection locked="0"/>
    </xf>
    <xf numFmtId="1" fontId="30" fillId="3" borderId="2" xfId="0" applyNumberFormat="1" applyFont="1" applyFill="1" applyBorder="1" applyAlignment="1">
      <alignment horizontal="center"/>
    </xf>
    <xf numFmtId="1" fontId="5" fillId="2" borderId="6" xfId="0" applyNumberFormat="1" applyFont="1" applyFill="1" applyBorder="1" applyAlignment="1">
      <alignment horizontal="center" vertical="center"/>
    </xf>
    <xf numFmtId="0" fontId="0" fillId="0" borderId="0" xfId="0" applyAlignment="1">
      <alignment horizontal="center"/>
    </xf>
    <xf numFmtId="0" fontId="2" fillId="0" borderId="6" xfId="3" quotePrefix="1" applyBorder="1" applyAlignment="1">
      <alignment horizontal="center"/>
    </xf>
    <xf numFmtId="0" fontId="4" fillId="2" borderId="0" xfId="0" applyFont="1" applyFill="1" applyBorder="1" applyAlignment="1">
      <alignment horizontal="center"/>
    </xf>
    <xf numFmtId="167" fontId="0" fillId="0" borderId="0" xfId="0" applyNumberFormat="1"/>
    <xf numFmtId="0" fontId="0" fillId="0" borderId="16" xfId="0" applyBorder="1"/>
    <xf numFmtId="0" fontId="0" fillId="0" borderId="16" xfId="0" applyBorder="1" applyAlignment="1">
      <alignment horizontal="center"/>
    </xf>
    <xf numFmtId="165" fontId="0" fillId="0" borderId="16" xfId="0" applyNumberFormat="1" applyBorder="1" applyAlignment="1">
      <alignment horizontal="center"/>
    </xf>
    <xf numFmtId="165" fontId="0" fillId="9" borderId="10" xfId="0" applyNumberFormat="1" applyFill="1" applyBorder="1" applyAlignment="1">
      <alignment horizontal="center"/>
    </xf>
    <xf numFmtId="165" fontId="0" fillId="9" borderId="2" xfId="0" applyNumberFormat="1" applyFill="1" applyBorder="1" applyAlignment="1">
      <alignment horizontal="center"/>
    </xf>
    <xf numFmtId="165" fontId="0" fillId="9" borderId="16" xfId="0" applyNumberFormat="1" applyFill="1" applyBorder="1" applyAlignment="1">
      <alignment horizontal="center"/>
    </xf>
    <xf numFmtId="0" fontId="15" fillId="2" borderId="17" xfId="0" applyFont="1" applyFill="1" applyBorder="1" applyAlignment="1">
      <alignment horizontal="center" wrapText="1"/>
    </xf>
    <xf numFmtId="0" fontId="17" fillId="2" borderId="17" xfId="0" applyFont="1" applyFill="1" applyBorder="1" applyAlignment="1">
      <alignment horizontal="center" wrapText="1"/>
    </xf>
    <xf numFmtId="0" fontId="15" fillId="2" borderId="17" xfId="0" applyFont="1" applyFill="1" applyBorder="1" applyAlignment="1">
      <alignment horizontal="center"/>
    </xf>
    <xf numFmtId="166" fontId="0" fillId="0" borderId="2" xfId="2" applyNumberFormat="1" applyFont="1" applyFill="1" applyBorder="1"/>
    <xf numFmtId="0" fontId="1" fillId="0" borderId="6" xfId="3" applyFont="1" applyBorder="1" applyAlignment="1">
      <alignment horizontal="center"/>
    </xf>
    <xf numFmtId="166" fontId="15" fillId="13" borderId="2" xfId="2" applyNumberFormat="1" applyFont="1" applyFill="1" applyBorder="1" applyAlignment="1">
      <alignment horizontal="center" vertical="center" wrapText="1"/>
    </xf>
    <xf numFmtId="166" fontId="15" fillId="13" borderId="16" xfId="2" applyNumberFormat="1" applyFont="1" applyFill="1" applyBorder="1" applyAlignment="1">
      <alignment horizontal="center" vertical="center" wrapText="1"/>
    </xf>
    <xf numFmtId="168" fontId="0" fillId="13" borderId="16" xfId="6" applyNumberFormat="1" applyFont="1" applyFill="1" applyBorder="1"/>
    <xf numFmtId="0" fontId="1" fillId="0" borderId="0" xfId="3" applyFont="1"/>
    <xf numFmtId="166" fontId="15" fillId="14" borderId="2" xfId="2" applyNumberFormat="1" applyFont="1" applyFill="1" applyBorder="1" applyAlignment="1">
      <alignment horizontal="center" vertical="center" wrapText="1"/>
    </xf>
    <xf numFmtId="166" fontId="15" fillId="14" borderId="16" xfId="2" applyNumberFormat="1" applyFont="1" applyFill="1" applyBorder="1" applyAlignment="1">
      <alignment horizontal="center" vertical="center" wrapText="1"/>
    </xf>
    <xf numFmtId="0" fontId="15" fillId="0" borderId="2" xfId="3" applyFont="1" applyBorder="1"/>
    <xf numFmtId="0" fontId="6" fillId="0" borderId="0" xfId="0" applyFont="1" applyFill="1" applyBorder="1"/>
    <xf numFmtId="0" fontId="0" fillId="0" borderId="0" xfId="0" applyFill="1" applyBorder="1" applyAlignment="1">
      <alignment horizontal="center"/>
    </xf>
    <xf numFmtId="0" fontId="0" fillId="0" borderId="0" xfId="0" applyFill="1" applyBorder="1"/>
    <xf numFmtId="165" fontId="0" fillId="0" borderId="0" xfId="0" applyNumberFormat="1" applyFill="1" applyBorder="1" applyAlignment="1">
      <alignment horizontal="center"/>
    </xf>
    <xf numFmtId="0" fontId="14" fillId="5" borderId="2" xfId="0" applyFont="1" applyFill="1" applyBorder="1" applyAlignment="1">
      <alignment horizontal="center" vertical="center"/>
    </xf>
    <xf numFmtId="0" fontId="14" fillId="5" borderId="10" xfId="0" applyFont="1" applyFill="1" applyBorder="1" applyAlignment="1">
      <alignment horizontal="center" vertical="center"/>
    </xf>
    <xf numFmtId="0" fontId="31" fillId="3" borderId="11" xfId="0" applyFont="1" applyFill="1" applyBorder="1" applyAlignment="1">
      <alignment horizontal="center"/>
    </xf>
    <xf numFmtId="0" fontId="31" fillId="3" borderId="4" xfId="0" applyFont="1" applyFill="1" applyBorder="1" applyAlignment="1">
      <alignment horizontal="center"/>
    </xf>
    <xf numFmtId="0" fontId="31" fillId="3" borderId="12" xfId="0" applyFont="1" applyFill="1" applyBorder="1" applyAlignment="1">
      <alignment horizontal="center"/>
    </xf>
    <xf numFmtId="17" fontId="31" fillId="3" borderId="13" xfId="0" applyNumberFormat="1" applyFont="1" applyFill="1" applyBorder="1" applyAlignment="1">
      <alignment horizontal="center"/>
    </xf>
    <xf numFmtId="0" fontId="31" fillId="3" borderId="1" xfId="0" applyFont="1" applyFill="1" applyBorder="1" applyAlignment="1">
      <alignment horizontal="center"/>
    </xf>
    <xf numFmtId="0" fontId="31" fillId="3" borderId="14" xfId="0" applyFont="1" applyFill="1" applyBorder="1" applyAlignment="1">
      <alignment horizontal="center"/>
    </xf>
    <xf numFmtId="1" fontId="15" fillId="3" borderId="9" xfId="0" applyNumberFormat="1" applyFont="1" applyFill="1" applyBorder="1" applyAlignment="1">
      <alignment horizontal="right" vertical="center"/>
    </xf>
    <xf numFmtId="0" fontId="20" fillId="5" borderId="0" xfId="0" applyFont="1" applyFill="1" applyBorder="1" applyAlignment="1">
      <alignment horizontal="center" vertical="center"/>
    </xf>
    <xf numFmtId="0" fontId="4" fillId="2" borderId="0" xfId="0" applyFont="1" applyFill="1" applyBorder="1" applyAlignment="1">
      <alignment horizontal="center"/>
    </xf>
    <xf numFmtId="0" fontId="4" fillId="2" borderId="6" xfId="0" applyFont="1" applyFill="1" applyBorder="1" applyAlignment="1">
      <alignment horizontal="center"/>
    </xf>
    <xf numFmtId="2" fontId="22" fillId="2" borderId="7" xfId="0" applyNumberFormat="1" applyFont="1" applyFill="1" applyBorder="1" applyAlignment="1">
      <alignment horizontal="center" vertical="center" textRotation="90"/>
    </xf>
    <xf numFmtId="2" fontId="22" fillId="2" borderId="2" xfId="0" applyNumberFormat="1" applyFont="1" applyFill="1" applyBorder="1" applyAlignment="1">
      <alignment horizontal="center" vertical="center" textRotation="90"/>
    </xf>
    <xf numFmtId="2" fontId="22" fillId="2" borderId="5" xfId="0" applyNumberFormat="1" applyFont="1" applyFill="1" applyBorder="1" applyAlignment="1">
      <alignment horizontal="center" vertical="center" textRotation="90"/>
    </xf>
    <xf numFmtId="0" fontId="27" fillId="6" borderId="2" xfId="0" applyFont="1" applyFill="1" applyBorder="1" applyAlignment="1" applyProtection="1">
      <alignment horizontal="center" vertical="center"/>
      <protection locked="0"/>
    </xf>
    <xf numFmtId="0" fontId="32" fillId="5" borderId="0" xfId="0" applyFont="1" applyFill="1" applyBorder="1" applyAlignment="1">
      <alignment horizontal="center" vertical="center"/>
    </xf>
    <xf numFmtId="0" fontId="25" fillId="6" borderId="2" xfId="0" applyFont="1" applyFill="1" applyBorder="1" applyAlignment="1" applyProtection="1">
      <alignment horizontal="center" vertical="center"/>
      <protection locked="0"/>
    </xf>
    <xf numFmtId="0" fontId="4" fillId="2" borderId="0" xfId="0" applyFont="1" applyFill="1" applyBorder="1" applyAlignment="1">
      <alignment horizontal="right"/>
    </xf>
    <xf numFmtId="0" fontId="4" fillId="2" borderId="0" xfId="0" applyFont="1" applyFill="1" applyBorder="1" applyAlignment="1">
      <alignment horizontal="right" vertical="center"/>
    </xf>
    <xf numFmtId="0" fontId="9" fillId="5" borderId="0" xfId="0" applyFont="1" applyFill="1" applyBorder="1" applyAlignment="1">
      <alignment horizontal="center" vertical="center"/>
    </xf>
    <xf numFmtId="9" fontId="25" fillId="6" borderId="2" xfId="1" applyFont="1" applyFill="1" applyBorder="1" applyAlignment="1" applyProtection="1">
      <alignment horizontal="center" vertical="center"/>
      <protection locked="0"/>
    </xf>
    <xf numFmtId="3" fontId="25" fillId="6" borderId="2" xfId="0" applyNumberFormat="1" applyFont="1" applyFill="1" applyBorder="1" applyAlignment="1" applyProtection="1">
      <alignment horizontal="center" vertical="center"/>
      <protection locked="0"/>
    </xf>
    <xf numFmtId="1" fontId="30" fillId="3" borderId="2" xfId="0" applyNumberFormat="1" applyFont="1" applyFill="1" applyBorder="1" applyAlignment="1">
      <alignment horizontal="center"/>
    </xf>
    <xf numFmtId="1" fontId="5" fillId="2" borderId="6" xfId="0" applyNumberFormat="1" applyFont="1" applyFill="1" applyBorder="1" applyAlignment="1">
      <alignment horizontal="center" vertical="center"/>
    </xf>
    <xf numFmtId="1" fontId="35" fillId="2" borderId="1" xfId="0" applyNumberFormat="1" applyFont="1" applyFill="1" applyBorder="1" applyAlignment="1">
      <alignment horizontal="center" vertical="center"/>
    </xf>
    <xf numFmtId="0" fontId="31" fillId="2" borderId="0" xfId="0" applyFont="1" applyFill="1" applyAlignment="1">
      <alignment horizontal="center"/>
    </xf>
    <xf numFmtId="0" fontId="0" fillId="0" borderId="0" xfId="0" applyAlignment="1">
      <alignment horizontal="center"/>
    </xf>
    <xf numFmtId="0" fontId="0" fillId="0" borderId="1" xfId="0" applyBorder="1" applyAlignment="1">
      <alignment horizontal="center"/>
    </xf>
    <xf numFmtId="0" fontId="2" fillId="0" borderId="6" xfId="3" quotePrefix="1" applyBorder="1" applyAlignment="1">
      <alignment horizontal="center"/>
    </xf>
  </cellXfs>
  <cellStyles count="7">
    <cellStyle name="Comma" xfId="2" builtinId="3"/>
    <cellStyle name="Comma 2" xfId="5" xr:uid="{00000000-0005-0000-0000-000001000000}"/>
    <cellStyle name="Normal" xfId="0" builtinId="0"/>
    <cellStyle name="Normal 2" xfId="3" xr:uid="{00000000-0005-0000-0000-000003000000}"/>
    <cellStyle name="Normal 2 2" xfId="4" xr:uid="{00000000-0005-0000-0000-000004000000}"/>
    <cellStyle name="Percent" xfId="1" builtinId="5"/>
    <cellStyle name="Percent 2" xfId="6" xr:uid="{00000000-0005-0000-0000-000006000000}"/>
  </cellStyles>
  <dxfs count="0"/>
  <tableStyles count="0" defaultTableStyle="TableStyleMedium2" defaultPivotStyle="PivotStyleLight16"/>
  <colors>
    <mruColors>
      <color rgb="FFCC00FF"/>
      <color rgb="FFA500CC"/>
      <color rgb="FFD215FF"/>
      <color rgb="FFE579FF"/>
      <color rgb="FF4E2D7F"/>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2</xdr:row>
      <xdr:rowOff>57150</xdr:rowOff>
    </xdr:from>
    <xdr:to>
      <xdr:col>3</xdr:col>
      <xdr:colOff>295275</xdr:colOff>
      <xdr:row>7</xdr:row>
      <xdr:rowOff>226288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19" b="11360"/>
        <a:stretch/>
      </xdr:blipFill>
      <xdr:spPr>
        <a:xfrm>
          <a:off x="257175" y="457200"/>
          <a:ext cx="2238375" cy="1312138"/>
        </a:xfrm>
        <a:prstGeom prst="rect">
          <a:avLst/>
        </a:prstGeom>
      </xdr:spPr>
    </xdr:pic>
    <xdr:clientData/>
  </xdr:twoCellAnchor>
  <xdr:twoCellAnchor>
    <xdr:from>
      <xdr:col>0</xdr:col>
      <xdr:colOff>304800</xdr:colOff>
      <xdr:row>11</xdr:row>
      <xdr:rowOff>66675</xdr:rowOff>
    </xdr:from>
    <xdr:to>
      <xdr:col>8</xdr:col>
      <xdr:colOff>1524000</xdr:colOff>
      <xdr:row>23</xdr:row>
      <xdr:rowOff>59532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04800" y="2709863"/>
          <a:ext cx="10696575" cy="242173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In an effort to to provide consistent information to swine producers, data has been summarized and this tool has been developed to provide recommendations for release of phosphorous in swine diets.</a:t>
          </a:r>
        </a:p>
        <a:p>
          <a:endParaRPr lang="en-US" sz="1600"/>
        </a:p>
        <a:p>
          <a:r>
            <a:rPr lang="en-US" sz="1600"/>
            <a:t>Data used in this</a:t>
          </a:r>
          <a:r>
            <a:rPr lang="en-US" sz="1600" baseline="0"/>
            <a:t> tool has been provided by phytase suppliers and all release values are based on bone mineralization measures including bone ash, dual energy x-ray absoptiometry (DEXA) scans, and/or bone phosphorous analysis when available in the data. </a:t>
          </a:r>
        </a:p>
        <a:p>
          <a:endParaRPr lang="en-US" sz="1600" baseline="0"/>
        </a:p>
        <a:p>
          <a:r>
            <a:rPr lang="en-US" sz="1600" baseline="0"/>
            <a:t>It is recognized that phytase provides growth benefits beyond bone mineralization. However, the goal of this tool is to provide release estimates for phytase sources based on estimates of bone mineralization.</a:t>
          </a:r>
          <a:endParaRPr lang="en-US" sz="1600"/>
        </a:p>
      </xdr:txBody>
    </xdr:sp>
    <xdr:clientData/>
  </xdr:twoCellAnchor>
  <xdr:twoCellAnchor>
    <xdr:from>
      <xdr:col>0</xdr:col>
      <xdr:colOff>304799</xdr:colOff>
      <xdr:row>27</xdr:row>
      <xdr:rowOff>38100</xdr:rowOff>
    </xdr:from>
    <xdr:to>
      <xdr:col>9</xdr:col>
      <xdr:colOff>47624</xdr:colOff>
      <xdr:row>65</xdr:row>
      <xdr:rowOff>28575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304799" y="5991225"/>
          <a:ext cx="10868025" cy="75914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Several tabs have</a:t>
          </a:r>
          <a:r>
            <a:rPr lang="en-US" sz="1600" baseline="0"/>
            <a:t> been developed within this spreadsheet to serve a number of specific purposes for swine producers: </a:t>
          </a:r>
        </a:p>
        <a:p>
          <a:endParaRPr lang="en-US" sz="1600" baseline="0"/>
        </a:p>
        <a:p>
          <a:r>
            <a:rPr lang="en-US" sz="1600" baseline="0"/>
            <a:t>1 - Inclusion table </a:t>
          </a:r>
        </a:p>
        <a:p>
          <a:pPr lvl="1"/>
          <a:r>
            <a:rPr lang="en-US" sz="1600" baseline="0"/>
            <a:t>If a specific level of phosphorous release is desired, this table indicates what level of phytase would be necessary to achieve the desired release of P.</a:t>
          </a:r>
        </a:p>
        <a:p>
          <a:pPr lvl="0"/>
          <a:endParaRPr lang="en-US" sz="1600" baseline="0"/>
        </a:p>
        <a:p>
          <a:pPr lvl="0"/>
          <a:r>
            <a:rPr lang="en-US" sz="1600" baseline="0"/>
            <a:t>2 - Release table </a:t>
          </a:r>
        </a:p>
        <a:p>
          <a:pPr lvl="1"/>
          <a:r>
            <a:rPr lang="en-US" sz="1600" baseline="0"/>
            <a:t>If a specific level of phytase is desired within the diet, this table indicates the expected release of both available and standardized total tract digestible phosphorous.</a:t>
          </a:r>
        </a:p>
        <a:p>
          <a:pPr lvl="0"/>
          <a:endParaRPr lang="en-US" sz="1600" baseline="0"/>
        </a:p>
        <a:p>
          <a:pPr lvl="0"/>
          <a:r>
            <a:rPr lang="en-US" sz="1600" baseline="0"/>
            <a:t>3 - Inclusion calculator</a:t>
          </a:r>
        </a:p>
        <a:p>
          <a:pPr lvl="1"/>
          <a:r>
            <a:rPr lang="en-US" sz="1600" baseline="0"/>
            <a:t>This tool allows producers to select their desired phytase source, product concentration, and desired phytase level in the diet and the output is the expected release of available and standardized total tract digestible phosphorous.</a:t>
          </a:r>
        </a:p>
        <a:p>
          <a:pPr lvl="0"/>
          <a:endParaRPr lang="en-US" sz="1600" baseline="0"/>
        </a:p>
        <a:p>
          <a:pPr lvl="0"/>
          <a:r>
            <a:rPr lang="en-US" sz="1600" baseline="0"/>
            <a:t>4 - Premix calculator</a:t>
          </a:r>
        </a:p>
        <a:p>
          <a:pPr lvl="1"/>
          <a:r>
            <a:rPr lang="en-US" sz="1600" baseline="0"/>
            <a:t>This tool allows producers to select their desired phytase source, guaranteed potency of product within a premix, and set inclusion rates of premix within multiple diets and the output is the expected release of available and standardized total tract digestible phosphorous.</a:t>
          </a:r>
        </a:p>
        <a:p>
          <a:pPr lvl="1"/>
          <a:endParaRPr lang="en-US" sz="1600" baseline="0"/>
        </a:p>
        <a:p>
          <a:pPr lvl="0"/>
          <a:r>
            <a:rPr lang="en-US" sz="1600" baseline="0"/>
            <a:t>An important concept this calculator incorporates is that 100% of the phytate P does not become digestible even when adequate phytase is available. Thus, the expected release of phosphorous is dependent upon the amount of phytate P within the diet. The exact proportion of phytate P that can be release and become available to the pig is not fully understood. To incorporate this concept with the best information currently available, we have entered a default of 70% to provide an estimate of the potential amount of the dietary phytate P that can be released if adequate phytase is available.</a:t>
          </a:r>
        </a:p>
        <a:p>
          <a:pPr lvl="0"/>
          <a:endParaRPr lang="en-US" sz="1600" baseline="0"/>
        </a:p>
        <a:p>
          <a:pPr lvl="0"/>
          <a:r>
            <a:rPr lang="en-US" sz="1600" baseline="0"/>
            <a:t>Data is provided based on NRC (2012) loading values for common ingredients for dietary phytate P levels in common ingredients, and dietary phytate P levels have been estimated based on common diet formulation strategies by phase to give an indication of phytate P levels in common diets.</a:t>
          </a:r>
        </a:p>
        <a:p>
          <a:pPr lvl="0"/>
          <a:endParaRPr lang="en-US" sz="1600" baseline="0"/>
        </a:p>
        <a:p>
          <a:pPr lvl="0"/>
          <a:r>
            <a:rPr lang="en-US" sz="1600" baseline="0"/>
            <a:t>The phytase level used within all calculations was based on assayed concentration of phytase source.</a:t>
          </a:r>
        </a:p>
        <a:p>
          <a:pPr lvl="1"/>
          <a:endParaRPr lang="en-US" sz="1600" baseline="0"/>
        </a:p>
      </xdr:txBody>
    </xdr:sp>
    <xdr:clientData/>
  </xdr:twoCellAnchor>
  <xdr:twoCellAnchor>
    <xdr:from>
      <xdr:col>0</xdr:col>
      <xdr:colOff>304800</xdr:colOff>
      <xdr:row>65</xdr:row>
      <xdr:rowOff>133350</xdr:rowOff>
    </xdr:from>
    <xdr:to>
      <xdr:col>9</xdr:col>
      <xdr:colOff>47625</xdr:colOff>
      <xdr:row>75</xdr:row>
      <xdr:rowOff>76199</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304800" y="13687425"/>
          <a:ext cx="10868025" cy="194309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Please contact the</a:t>
          </a:r>
          <a:r>
            <a:rPr lang="en-US" sz="1600" baseline="0"/>
            <a:t> KSU Applied Swine Nutrition team with any questions regarding use of this tool.</a:t>
          </a:r>
        </a:p>
        <a:p>
          <a:endParaRPr lang="en-US" sz="1600" baseline="0"/>
        </a:p>
        <a:p>
          <a:pPr lvl="1"/>
          <a:endParaRPr lang="en-US" sz="1600" baseline="0"/>
        </a:p>
        <a:p>
          <a:pPr lvl="1"/>
          <a:endParaRPr lang="en-US" sz="1600" baseline="0"/>
        </a:p>
      </xdr:txBody>
    </xdr:sp>
    <xdr:clientData/>
  </xdr:twoCellAnchor>
  <xdr:twoCellAnchor editAs="oneCell">
    <xdr:from>
      <xdr:col>4</xdr:col>
      <xdr:colOff>200024</xdr:colOff>
      <xdr:row>67</xdr:row>
      <xdr:rowOff>180974</xdr:rowOff>
    </xdr:from>
    <xdr:to>
      <xdr:col>5</xdr:col>
      <xdr:colOff>809624</xdr:colOff>
      <xdr:row>74</xdr:row>
      <xdr:rowOff>118474</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19" b="11360"/>
        <a:stretch/>
      </xdr:blipFill>
      <xdr:spPr>
        <a:xfrm>
          <a:off x="2943224" y="14135099"/>
          <a:ext cx="2286000" cy="1337675"/>
        </a:xfrm>
        <a:prstGeom prst="rect">
          <a:avLst/>
        </a:prstGeom>
      </xdr:spPr>
    </xdr:pic>
    <xdr:clientData/>
  </xdr:twoCellAnchor>
  <xdr:twoCellAnchor editAs="oneCell">
    <xdr:from>
      <xdr:col>5</xdr:col>
      <xdr:colOff>1552576</xdr:colOff>
      <xdr:row>68</xdr:row>
      <xdr:rowOff>38100</xdr:rowOff>
    </xdr:from>
    <xdr:to>
      <xdr:col>7</xdr:col>
      <xdr:colOff>485776</xdr:colOff>
      <xdr:row>74</xdr:row>
      <xdr:rowOff>95703</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5972176" y="14192250"/>
          <a:ext cx="2286000" cy="12577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1</xdr:row>
      <xdr:rowOff>41154</xdr:rowOff>
    </xdr:from>
    <xdr:to>
      <xdr:col>3</xdr:col>
      <xdr:colOff>437187</xdr:colOff>
      <xdr:row>6</xdr:row>
      <xdr:rowOff>147502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19" b="11360"/>
        <a:stretch/>
      </xdr:blipFill>
      <xdr:spPr>
        <a:xfrm>
          <a:off x="209550" y="241179"/>
          <a:ext cx="1856412" cy="10778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251114</xdr:colOff>
      <xdr:row>0</xdr:row>
      <xdr:rowOff>301655</xdr:rowOff>
    </xdr:from>
    <xdr:to>
      <xdr:col>4</xdr:col>
      <xdr:colOff>123825</xdr:colOff>
      <xdr:row>5</xdr:row>
      <xdr:rowOff>85981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19" b="11360"/>
        <a:stretch/>
      </xdr:blipFill>
      <xdr:spPr>
        <a:xfrm>
          <a:off x="860714" y="301655"/>
          <a:ext cx="1863436" cy="11083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152399</xdr:colOff>
      <xdr:row>1</xdr:row>
      <xdr:rowOff>9525</xdr:rowOff>
    </xdr:from>
    <xdr:to>
      <xdr:col>3</xdr:col>
      <xdr:colOff>581024</xdr:colOff>
      <xdr:row>6</xdr:row>
      <xdr:rowOff>121513</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19" b="11360"/>
        <a:stretch/>
      </xdr:blipFill>
      <xdr:spPr>
        <a:xfrm>
          <a:off x="361949" y="209550"/>
          <a:ext cx="2238375" cy="13121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152399</xdr:colOff>
      <xdr:row>1</xdr:row>
      <xdr:rowOff>9525</xdr:rowOff>
    </xdr:from>
    <xdr:to>
      <xdr:col>3</xdr:col>
      <xdr:colOff>581024</xdr:colOff>
      <xdr:row>6</xdr:row>
      <xdr:rowOff>121513</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19" b="11360"/>
        <a:stretch/>
      </xdr:blipFill>
      <xdr:spPr>
        <a:xfrm>
          <a:off x="257174" y="209550"/>
          <a:ext cx="2238375" cy="13121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152399</xdr:colOff>
      <xdr:row>1</xdr:row>
      <xdr:rowOff>9525</xdr:rowOff>
    </xdr:from>
    <xdr:to>
      <xdr:col>4</xdr:col>
      <xdr:colOff>581024</xdr:colOff>
      <xdr:row>6</xdr:row>
      <xdr:rowOff>121513</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19" b="11360"/>
        <a:stretch/>
      </xdr:blipFill>
      <xdr:spPr>
        <a:xfrm>
          <a:off x="365759" y="207645"/>
          <a:ext cx="2242185" cy="130070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209550</xdr:colOff>
      <xdr:row>1</xdr:row>
      <xdr:rowOff>76200</xdr:rowOff>
    </xdr:from>
    <xdr:to>
      <xdr:col>3</xdr:col>
      <xdr:colOff>390525</xdr:colOff>
      <xdr:row>7</xdr:row>
      <xdr:rowOff>64363</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19" b="11360"/>
        <a:stretch/>
      </xdr:blipFill>
      <xdr:spPr>
        <a:xfrm>
          <a:off x="209550" y="276225"/>
          <a:ext cx="2238375" cy="1312138"/>
        </a:xfrm>
        <a:prstGeom prst="rect">
          <a:avLst/>
        </a:prstGeom>
      </xdr:spPr>
    </xdr:pic>
    <xdr:clientData/>
  </xdr:twoCellAnchor>
  <xdr:twoCellAnchor>
    <xdr:from>
      <xdr:col>12</xdr:col>
      <xdr:colOff>95251</xdr:colOff>
      <xdr:row>18</xdr:row>
      <xdr:rowOff>19050</xdr:rowOff>
    </xdr:from>
    <xdr:to>
      <xdr:col>18</xdr:col>
      <xdr:colOff>152400</xdr:colOff>
      <xdr:row>32</xdr:row>
      <xdr:rowOff>160020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4375131" y="4057650"/>
          <a:ext cx="6800849" cy="323469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800" baseline="0"/>
            <a:t>Example diet formulation examples using NRC (2012) loading specifications for dietary phytate P levels. This information is provided as a reference to be used in these calculators if user does not have calculated phytate P levels for their formulations.</a:t>
          </a:r>
        </a:p>
        <a:p>
          <a:pPr lvl="0"/>
          <a:endParaRPr lang="en-US" sz="1800" baseline="0"/>
        </a:p>
        <a:p>
          <a:pPr lvl="0"/>
          <a:r>
            <a:rPr lang="en-US" sz="1800" baseline="0"/>
            <a:t>More information is needed to characterize the level of phytate P in swine diets. This information is provided as a baseline and can be updated as more information is generated.</a:t>
          </a:r>
        </a:p>
        <a:p>
          <a:pPr lvl="0"/>
          <a:endParaRPr lang="en-US" sz="1800" baseline="0"/>
        </a:p>
        <a:p>
          <a:pPr lvl="0"/>
          <a:r>
            <a:rPr lang="en-US" sz="1800" baseline="0"/>
            <a:t>Appreciation is expressed to Dr. Hans Stein and laboratory (University of Illinois) for assistance with providing analyzed phytate P data.</a:t>
          </a:r>
        </a:p>
        <a:p>
          <a:pPr lvl="1"/>
          <a:endParaRPr lang="en-US" sz="1800" baseline="0"/>
        </a:p>
        <a:p>
          <a:pPr lvl="1"/>
          <a:endParaRPr lang="en-US" sz="1800"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320040</xdr:colOff>
      <xdr:row>27</xdr:row>
      <xdr:rowOff>169545</xdr:rowOff>
    </xdr:from>
    <xdr:to>
      <xdr:col>13</xdr:col>
      <xdr:colOff>632160</xdr:colOff>
      <xdr:row>30</xdr:row>
      <xdr:rowOff>119946</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435465" y="5560695"/>
          <a:ext cx="2369520" cy="550476"/>
        </a:xfrm>
        <a:prstGeom prst="rect">
          <a:avLst/>
        </a:prstGeom>
        <a:ln>
          <a:solidFill>
            <a:schemeClr val="tx1"/>
          </a:solidFill>
        </a:ln>
      </xdr:spPr>
    </xdr:pic>
    <xdr:clientData/>
  </xdr:twoCellAnchor>
  <xdr:twoCellAnchor>
    <xdr:from>
      <xdr:col>9</xdr:col>
      <xdr:colOff>428625</xdr:colOff>
      <xdr:row>25</xdr:row>
      <xdr:rowOff>76200</xdr:rowOff>
    </xdr:from>
    <xdr:to>
      <xdr:col>14</xdr:col>
      <xdr:colOff>742950</xdr:colOff>
      <xdr:row>27</xdr:row>
      <xdr:rowOff>66675</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8858250" y="5067300"/>
          <a:ext cx="3743325" cy="3905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All final</a:t>
          </a:r>
          <a:r>
            <a:rPr lang="en-US" sz="1400" baseline="0"/>
            <a:t> models were fit with a non-linear form.</a:t>
          </a:r>
          <a:endParaRPr lang="en-US" sz="1400"/>
        </a:p>
      </xdr:txBody>
    </xdr:sp>
    <xdr:clientData/>
  </xdr:twoCellAnchor>
  <xdr:twoCellAnchor>
    <xdr:from>
      <xdr:col>1</xdr:col>
      <xdr:colOff>47624</xdr:colOff>
      <xdr:row>27</xdr:row>
      <xdr:rowOff>28575</xdr:rowOff>
    </xdr:from>
    <xdr:to>
      <xdr:col>8</xdr:col>
      <xdr:colOff>838199</xdr:colOff>
      <xdr:row>33</xdr:row>
      <xdr:rowOff>123825</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752599" y="5629275"/>
          <a:ext cx="6562725" cy="1295400"/>
        </a:xfrm>
        <a:prstGeom prst="rect">
          <a:avLst/>
        </a:prstGeom>
        <a:solidFill>
          <a:schemeClr val="accent5">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Steps needed before</a:t>
          </a:r>
          <a:r>
            <a:rPr lang="en-US" sz="1100" u="sng" baseline="0"/>
            <a:t> this could be distributed:</a:t>
          </a:r>
        </a:p>
        <a:p>
          <a:r>
            <a:rPr lang="en-US" sz="1100" baseline="0"/>
            <a:t>1 - formulas in inclusion table are still live; Copy/paste them as values so formulas don't get screwed up.</a:t>
          </a:r>
        </a:p>
        <a:p>
          <a:r>
            <a:rPr lang="en-US" sz="1100" baseline="0"/>
            <a:t>2 - Sheets need to be protected. </a:t>
          </a:r>
        </a:p>
        <a:p>
          <a:r>
            <a:rPr lang="en-US" sz="1100" baseline="0"/>
            <a:t>3 - Regression curves and Premix calculations tabs needs to be hidden. </a:t>
          </a:r>
        </a:p>
        <a:p>
          <a:r>
            <a:rPr lang="en-US" sz="1100" baseline="0">
              <a:solidFill>
                <a:schemeClr val="dk1"/>
              </a:solidFill>
              <a:effectLst/>
              <a:latin typeface="+mn-lt"/>
              <a:ea typeface="+mn-ea"/>
              <a:cs typeface="+mn-cs"/>
            </a:rPr>
            <a:t>	See Word document for instructions (Alt + F11, very hidden)</a:t>
          </a:r>
          <a:endParaRPr lang="en-US">
            <a:effectLst/>
          </a:endParaRP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542925</xdr:colOff>
      <xdr:row>2</xdr:row>
      <xdr:rowOff>9525</xdr:rowOff>
    </xdr:from>
    <xdr:to>
      <xdr:col>18</xdr:col>
      <xdr:colOff>371175</xdr:colOff>
      <xdr:row>4</xdr:row>
      <xdr:rowOff>161856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14154150" y="533400"/>
          <a:ext cx="2095200" cy="552381"/>
        </a:xfrm>
        <a:prstGeom prst="rect">
          <a:avLst/>
        </a:prstGeom>
        <a:ln>
          <a:solidFill>
            <a:schemeClr val="tx1"/>
          </a:solidFill>
        </a:ln>
      </xdr:spPr>
    </xdr:pic>
    <xdr:clientData/>
  </xdr:twoCellAnchor>
  <xdr:twoCellAnchor>
    <xdr:from>
      <xdr:col>15</xdr:col>
      <xdr:colOff>504825</xdr:colOff>
      <xdr:row>8</xdr:row>
      <xdr:rowOff>146683</xdr:rowOff>
    </xdr:from>
    <xdr:to>
      <xdr:col>22</xdr:col>
      <xdr:colOff>438150</xdr:colOff>
      <xdr:row>16</xdr:row>
      <xdr:rowOff>171449</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9030950" y="1880233"/>
          <a:ext cx="5095875" cy="1615441"/>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INCLUSION CONCEPT:</a:t>
          </a:r>
          <a:endParaRPr lang="en-US">
            <a:effectLst/>
          </a:endParaRPr>
        </a:p>
        <a:p>
          <a:endParaRPr lang="en-US" sz="1100"/>
        </a:p>
        <a:p>
          <a:r>
            <a:rPr lang="en-US" sz="1100"/>
            <a:t>Inclusion</a:t>
          </a:r>
          <a:r>
            <a:rPr lang="en-US" sz="1100" baseline="0"/>
            <a:t> of phytase is calculated so that at lowest premix inclusion rate of 1.5 lb/ton, we would expect to have a 0.13% release of STTD P using the updated phytase release curves.</a:t>
          </a:r>
        </a:p>
        <a:p>
          <a:endParaRPr lang="en-US" sz="1100" baseline="0"/>
        </a:p>
        <a:p>
          <a:r>
            <a:rPr lang="en-US" sz="1100" baseline="0"/>
            <a:t>Goal seek column G to be 0.13% STTD P release by changing column D</a:t>
          </a:r>
        </a:p>
      </xdr:txBody>
    </xdr:sp>
    <xdr:clientData/>
  </xdr:twoCellAnchor>
  <xdr:twoCellAnchor>
    <xdr:from>
      <xdr:col>12</xdr:col>
      <xdr:colOff>184785</xdr:colOff>
      <xdr:row>31</xdr:row>
      <xdr:rowOff>104775</xdr:rowOff>
    </xdr:from>
    <xdr:to>
      <xdr:col>15</xdr:col>
      <xdr:colOff>870585</xdr:colOff>
      <xdr:row>33</xdr:row>
      <xdr:rowOff>160020</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3491210" y="5695950"/>
          <a:ext cx="5172075" cy="655320"/>
        </a:xfrm>
        <a:prstGeom prst="rect">
          <a:avLst/>
        </a:prstGeom>
        <a:solidFill>
          <a:schemeClr val="accent2">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Orange cell means that</a:t>
          </a:r>
          <a:r>
            <a:rPr lang="en-US" sz="1100" baseline="0"/>
            <a:t> phytase level of the final diet is above level for which we have data available - or in other terms amount of phytase provided exceeds the level which will be provided P release credit.</a:t>
          </a:r>
          <a:endParaRPr lang="en-US" sz="1100"/>
        </a:p>
      </xdr:txBody>
    </xdr:sp>
    <xdr:clientData/>
  </xdr:twoCellAnchor>
  <xdr:twoCellAnchor>
    <xdr:from>
      <xdr:col>11</xdr:col>
      <xdr:colOff>1160145</xdr:colOff>
      <xdr:row>20</xdr:row>
      <xdr:rowOff>152400</xdr:rowOff>
    </xdr:from>
    <xdr:to>
      <xdr:col>17</xdr:col>
      <xdr:colOff>152400</xdr:colOff>
      <xdr:row>29</xdr:row>
      <xdr:rowOff>192405</xdr:rowOff>
    </xdr:to>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3218795" y="4143375"/>
          <a:ext cx="6459855" cy="1240155"/>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INCLUSION CONCEPT:</a:t>
          </a:r>
        </a:p>
        <a:p>
          <a:r>
            <a:rPr lang="en-US" sz="1100"/>
            <a:t>The amount of phytase in Sow VTM is based on an equivelant of </a:t>
          </a:r>
          <a:r>
            <a:rPr lang="en-US" sz="1100" b="1"/>
            <a:t>3 #</a:t>
          </a:r>
          <a:r>
            <a:rPr lang="en-US" sz="1100"/>
            <a:t> of vitmain premix inclusion. It is 3 # of the non-rounded level</a:t>
          </a:r>
          <a:r>
            <a:rPr lang="en-US" sz="1100" baseline="0"/>
            <a:t> (which is column D, not column E which is the rounded level from the spec sheet). Will only round once, at the end and not take 2 times a rounded number.</a:t>
          </a:r>
          <a:endParaRPr lang="en-US" sz="1100"/>
        </a:p>
        <a:p>
          <a:endParaRPr lang="en-US" sz="1100"/>
        </a:p>
        <a:p>
          <a:r>
            <a:rPr lang="en-US" sz="1100"/>
            <a:t>Cell E22 is Cell D4 x 3</a:t>
          </a:r>
        </a:p>
      </xdr:txBody>
    </xdr:sp>
    <xdr:clientData/>
  </xdr:twoCellAnchor>
  <xdr:twoCellAnchor>
    <xdr:from>
      <xdr:col>12</xdr:col>
      <xdr:colOff>120015</xdr:colOff>
      <xdr:row>48</xdr:row>
      <xdr:rowOff>142875</xdr:rowOff>
    </xdr:from>
    <xdr:to>
      <xdr:col>15</xdr:col>
      <xdr:colOff>805815</xdr:colOff>
      <xdr:row>50</xdr:row>
      <xdr:rowOff>198120</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4159865" y="8848725"/>
          <a:ext cx="5172075" cy="655320"/>
        </a:xfrm>
        <a:prstGeom prst="rect">
          <a:avLst/>
        </a:prstGeom>
        <a:solidFill>
          <a:schemeClr val="accent2">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Orange cell means that</a:t>
          </a:r>
          <a:r>
            <a:rPr lang="en-US" sz="1100" baseline="0"/>
            <a:t> phytase level of the final diet is above level for which we have data available - or in other terms amount of phytase provided exceeds the level which will be provided P release credit.</a:t>
          </a:r>
          <a:endParaRPr lang="en-US" sz="1100"/>
        </a:p>
      </xdr:txBody>
    </xdr:sp>
    <xdr:clientData/>
  </xdr:twoCellAnchor>
  <xdr:twoCellAnchor>
    <xdr:from>
      <xdr:col>11</xdr:col>
      <xdr:colOff>1104900</xdr:colOff>
      <xdr:row>41</xdr:row>
      <xdr:rowOff>9525</xdr:rowOff>
    </xdr:from>
    <xdr:to>
      <xdr:col>17</xdr:col>
      <xdr:colOff>97155</xdr:colOff>
      <xdr:row>48</xdr:row>
      <xdr:rowOff>49530</xdr:rowOff>
    </xdr:to>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13896975" y="7515225"/>
          <a:ext cx="6459855" cy="1240155"/>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INCLUSION CONCEPT:</a:t>
          </a:r>
        </a:p>
        <a:p>
          <a:r>
            <a:rPr lang="en-US" sz="1100"/>
            <a:t>The amount of phytase in Grow-Finish basemix is based on an equivelant of </a:t>
          </a:r>
          <a:r>
            <a:rPr lang="en-US" sz="1100" b="1"/>
            <a:t>5 #</a:t>
          </a:r>
          <a:r>
            <a:rPr lang="en-US" sz="1100"/>
            <a:t> of vitmain premix inclusion.</a:t>
          </a:r>
        </a:p>
        <a:p>
          <a:endParaRPr lang="en-US" sz="1100"/>
        </a:p>
        <a:p>
          <a:r>
            <a:rPr lang="en-US" sz="1100"/>
            <a:t>Cell 39 is Cell D4 x 5</a:t>
          </a:r>
        </a:p>
      </xdr:txBody>
    </xdr:sp>
    <xdr:clientData/>
  </xdr:twoCellAnchor>
  <xdr:twoCellAnchor>
    <xdr:from>
      <xdr:col>12</xdr:col>
      <xdr:colOff>215265</xdr:colOff>
      <xdr:row>66</xdr:row>
      <xdr:rowOff>0</xdr:rowOff>
    </xdr:from>
    <xdr:to>
      <xdr:col>15</xdr:col>
      <xdr:colOff>901065</xdr:colOff>
      <xdr:row>68</xdr:row>
      <xdr:rowOff>55245</xdr:rowOff>
    </xdr:to>
    <xdr:sp macro="" textlink="">
      <xdr:nvSpPr>
        <xdr:cNvPr id="12" name="TextBox 11">
          <a:extLst>
            <a:ext uri="{FF2B5EF4-FFF2-40B4-BE49-F238E27FC236}">
              <a16:creationId xmlns:a16="http://schemas.microsoft.com/office/drawing/2014/main" id="{00000000-0008-0000-0800-00000C000000}"/>
            </a:ext>
          </a:extLst>
        </xdr:cNvPr>
        <xdr:cNvSpPr txBox="1"/>
      </xdr:nvSpPr>
      <xdr:spPr>
        <a:xfrm>
          <a:off x="14255115" y="12020550"/>
          <a:ext cx="5172075" cy="655320"/>
        </a:xfrm>
        <a:prstGeom prst="rect">
          <a:avLst/>
        </a:prstGeom>
        <a:solidFill>
          <a:schemeClr val="accent2">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Orange cell means that</a:t>
          </a:r>
          <a:r>
            <a:rPr lang="en-US" sz="1100" baseline="0"/>
            <a:t> phytase level of the final diet is above level for which we have data available - or in other terms amount of phytase provided exceeds the level which will be provided P release credit.</a:t>
          </a:r>
          <a:endParaRPr lang="en-US" sz="1100"/>
        </a:p>
      </xdr:txBody>
    </xdr:sp>
    <xdr:clientData/>
  </xdr:twoCellAnchor>
  <xdr:twoCellAnchor>
    <xdr:from>
      <xdr:col>11</xdr:col>
      <xdr:colOff>1190625</xdr:colOff>
      <xdr:row>56</xdr:row>
      <xdr:rowOff>47625</xdr:rowOff>
    </xdr:from>
    <xdr:to>
      <xdr:col>17</xdr:col>
      <xdr:colOff>182880</xdr:colOff>
      <xdr:row>64</xdr:row>
      <xdr:rowOff>87630</xdr:rowOff>
    </xdr:to>
    <xdr:sp macro="" textlink="">
      <xdr:nvSpPr>
        <xdr:cNvPr id="13" name="TextBox 12">
          <a:extLst>
            <a:ext uri="{FF2B5EF4-FFF2-40B4-BE49-F238E27FC236}">
              <a16:creationId xmlns:a16="http://schemas.microsoft.com/office/drawing/2014/main" id="{00000000-0008-0000-0800-00000D000000}"/>
            </a:ext>
          </a:extLst>
        </xdr:cNvPr>
        <xdr:cNvSpPr txBox="1"/>
      </xdr:nvSpPr>
      <xdr:spPr>
        <a:xfrm>
          <a:off x="13982700" y="10467975"/>
          <a:ext cx="6459855" cy="1240155"/>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INCLUSION CONCEPT:</a:t>
          </a:r>
        </a:p>
        <a:p>
          <a:r>
            <a:rPr lang="en-US" sz="1100"/>
            <a:t>The amount of phytase in Sow VTM is based on an equivelant of </a:t>
          </a:r>
          <a:r>
            <a:rPr lang="en-US" sz="1100" b="1"/>
            <a:t>3 #</a:t>
          </a:r>
          <a:r>
            <a:rPr lang="en-US" sz="1100"/>
            <a:t> of vitmain premix inclusion.</a:t>
          </a:r>
        </a:p>
        <a:p>
          <a:endParaRPr lang="en-US" sz="1100"/>
        </a:p>
        <a:p>
          <a:r>
            <a:rPr lang="en-US" sz="1100"/>
            <a:t>Cell E56 is Cell D4 x 3</a:t>
          </a:r>
        </a:p>
      </xdr:txBody>
    </xdr:sp>
    <xdr:clientData/>
  </xdr:twoCellAnchor>
  <xdr:twoCellAnchor>
    <xdr:from>
      <xdr:col>12</xdr:col>
      <xdr:colOff>53340</xdr:colOff>
      <xdr:row>85</xdr:row>
      <xdr:rowOff>76200</xdr:rowOff>
    </xdr:from>
    <xdr:to>
      <xdr:col>15</xdr:col>
      <xdr:colOff>739140</xdr:colOff>
      <xdr:row>87</xdr:row>
      <xdr:rowOff>131445</xdr:rowOff>
    </xdr:to>
    <xdr:sp macro="" textlink="">
      <xdr:nvSpPr>
        <xdr:cNvPr id="14" name="TextBox 13">
          <a:extLst>
            <a:ext uri="{FF2B5EF4-FFF2-40B4-BE49-F238E27FC236}">
              <a16:creationId xmlns:a16="http://schemas.microsoft.com/office/drawing/2014/main" id="{00000000-0008-0000-0800-00000E000000}"/>
            </a:ext>
          </a:extLst>
        </xdr:cNvPr>
        <xdr:cNvSpPr txBox="1"/>
      </xdr:nvSpPr>
      <xdr:spPr>
        <a:xfrm>
          <a:off x="14093190" y="15592425"/>
          <a:ext cx="5172075" cy="655320"/>
        </a:xfrm>
        <a:prstGeom prst="rect">
          <a:avLst/>
        </a:prstGeom>
        <a:solidFill>
          <a:schemeClr val="accent2">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Orange cell means that</a:t>
          </a:r>
          <a:r>
            <a:rPr lang="en-US" sz="1100" baseline="0"/>
            <a:t> phytase level of the final diet is above level for which we have data available - or in other terms amount of phytase provided exceeds the level which will be provided P release credit.</a:t>
          </a:r>
          <a:endParaRPr lang="en-US" sz="1100"/>
        </a:p>
      </xdr:txBody>
    </xdr:sp>
    <xdr:clientData/>
  </xdr:twoCellAnchor>
  <xdr:twoCellAnchor>
    <xdr:from>
      <xdr:col>11</xdr:col>
      <xdr:colOff>1028700</xdr:colOff>
      <xdr:row>75</xdr:row>
      <xdr:rowOff>123825</xdr:rowOff>
    </xdr:from>
    <xdr:to>
      <xdr:col>17</xdr:col>
      <xdr:colOff>20955</xdr:colOff>
      <xdr:row>83</xdr:row>
      <xdr:rowOff>163830</xdr:rowOff>
    </xdr:to>
    <xdr:sp macro="" textlink="">
      <xdr:nvSpPr>
        <xdr:cNvPr id="15" name="TextBox 14">
          <a:extLst>
            <a:ext uri="{FF2B5EF4-FFF2-40B4-BE49-F238E27FC236}">
              <a16:creationId xmlns:a16="http://schemas.microsoft.com/office/drawing/2014/main" id="{00000000-0008-0000-0800-00000F000000}"/>
            </a:ext>
          </a:extLst>
        </xdr:cNvPr>
        <xdr:cNvSpPr txBox="1"/>
      </xdr:nvSpPr>
      <xdr:spPr>
        <a:xfrm>
          <a:off x="13820775" y="14039850"/>
          <a:ext cx="6459855" cy="1240155"/>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INCLUSION CONCEPT:</a:t>
          </a:r>
        </a:p>
        <a:p>
          <a:r>
            <a:rPr lang="en-US" sz="1100"/>
            <a:t>The amount of phytase in GF Base mix is based on an equivelant of </a:t>
          </a:r>
          <a:r>
            <a:rPr lang="en-US" sz="1100" b="1"/>
            <a:t>3 #</a:t>
          </a:r>
          <a:r>
            <a:rPr lang="en-US" sz="1100"/>
            <a:t> of vitmain premix inclusion.</a:t>
          </a:r>
        </a:p>
        <a:p>
          <a:endParaRPr lang="en-US" sz="1100"/>
        </a:p>
        <a:p>
          <a:r>
            <a:rPr lang="en-US" sz="1100"/>
            <a:t>Cell E75 is Cell D4 x 3</a:t>
          </a:r>
        </a:p>
      </xdr:txBody>
    </xdr:sp>
    <xdr:clientData/>
  </xdr:twoCellAnchor>
  <xdr:twoCellAnchor>
    <xdr:from>
      <xdr:col>12</xdr:col>
      <xdr:colOff>62865</xdr:colOff>
      <xdr:row>103</xdr:row>
      <xdr:rowOff>0</xdr:rowOff>
    </xdr:from>
    <xdr:to>
      <xdr:col>15</xdr:col>
      <xdr:colOff>748665</xdr:colOff>
      <xdr:row>105</xdr:row>
      <xdr:rowOff>83820</xdr:rowOff>
    </xdr:to>
    <xdr:sp macro="" textlink="">
      <xdr:nvSpPr>
        <xdr:cNvPr id="16" name="TextBox 15">
          <a:extLst>
            <a:ext uri="{FF2B5EF4-FFF2-40B4-BE49-F238E27FC236}">
              <a16:creationId xmlns:a16="http://schemas.microsoft.com/office/drawing/2014/main" id="{00000000-0008-0000-0800-000010000000}"/>
            </a:ext>
          </a:extLst>
        </xdr:cNvPr>
        <xdr:cNvSpPr txBox="1"/>
      </xdr:nvSpPr>
      <xdr:spPr>
        <a:xfrm>
          <a:off x="14102715" y="18802350"/>
          <a:ext cx="5172075" cy="655320"/>
        </a:xfrm>
        <a:prstGeom prst="rect">
          <a:avLst/>
        </a:prstGeom>
        <a:solidFill>
          <a:schemeClr val="accent2">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Orange cell means that</a:t>
          </a:r>
          <a:r>
            <a:rPr lang="en-US" sz="1100" baseline="0"/>
            <a:t> phytase level of the final diet is above level for which we have data available - or in other terms amount of phytase provided exceeds the level which will be provided P release credit.</a:t>
          </a:r>
          <a:endParaRPr lang="en-US" sz="1100"/>
        </a:p>
      </xdr:txBody>
    </xdr:sp>
    <xdr:clientData/>
  </xdr:twoCellAnchor>
  <xdr:twoCellAnchor>
    <xdr:from>
      <xdr:col>11</xdr:col>
      <xdr:colOff>1038225</xdr:colOff>
      <xdr:row>92</xdr:row>
      <xdr:rowOff>38100</xdr:rowOff>
    </xdr:from>
    <xdr:to>
      <xdr:col>17</xdr:col>
      <xdr:colOff>30480</xdr:colOff>
      <xdr:row>102</xdr:row>
      <xdr:rowOff>0</xdr:rowOff>
    </xdr:to>
    <xdr:sp macro="" textlink="">
      <xdr:nvSpPr>
        <xdr:cNvPr id="17" name="TextBox 16">
          <a:extLst>
            <a:ext uri="{FF2B5EF4-FFF2-40B4-BE49-F238E27FC236}">
              <a16:creationId xmlns:a16="http://schemas.microsoft.com/office/drawing/2014/main" id="{00000000-0008-0000-0800-000011000000}"/>
            </a:ext>
          </a:extLst>
        </xdr:cNvPr>
        <xdr:cNvSpPr txBox="1"/>
      </xdr:nvSpPr>
      <xdr:spPr>
        <a:xfrm>
          <a:off x="13830300" y="17249775"/>
          <a:ext cx="6459855" cy="1240155"/>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INCLUSION CONCEPT:</a:t>
          </a:r>
        </a:p>
        <a:p>
          <a:r>
            <a:rPr lang="en-US" sz="1100"/>
            <a:t>The amount of phytase in GF DDGS Base mix is based on an equivelant of </a:t>
          </a:r>
          <a:r>
            <a:rPr lang="en-US" sz="1100" b="1"/>
            <a:t>3 #</a:t>
          </a:r>
          <a:r>
            <a:rPr lang="en-US" sz="1100"/>
            <a:t> of vitmain premix inclusion.</a:t>
          </a:r>
        </a:p>
        <a:p>
          <a:endParaRPr lang="en-US" sz="1100"/>
        </a:p>
        <a:p>
          <a:r>
            <a:rPr lang="en-US" sz="1100"/>
            <a:t>Cell E94 is Cell D4 x 3</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I80"/>
  <sheetViews>
    <sheetView tabSelected="1" zoomScaleNormal="100" workbookViewId="0">
      <selection activeCell="E81" sqref="E81"/>
    </sheetView>
  </sheetViews>
  <sheetFormatPr defaultColWidth="9" defaultRowHeight="15.75" x14ac:dyDescent="0.25"/>
  <cols>
    <col min="1" max="1" width="9" style="4"/>
    <col min="2" max="2" width="10.875" style="4" customWidth="1"/>
    <col min="3" max="4" width="9" style="4"/>
    <col min="5" max="9" width="22" style="4" customWidth="1"/>
    <col min="10" max="10" width="26.375" style="4" customWidth="1"/>
    <col min="11" max="11" width="23.125" style="4" customWidth="1"/>
    <col min="12" max="16384" width="9" style="4"/>
  </cols>
  <sheetData>
    <row r="3" spans="2:9" ht="15.75" customHeight="1" x14ac:dyDescent="0.25">
      <c r="E3" s="179" t="s">
        <v>0</v>
      </c>
      <c r="F3" s="179"/>
      <c r="G3" s="179"/>
      <c r="H3" s="179"/>
      <c r="I3" s="179"/>
    </row>
    <row r="4" spans="2:9" ht="15.75" customHeight="1" x14ac:dyDescent="0.25">
      <c r="E4" s="179"/>
      <c r="F4" s="179"/>
      <c r="G4" s="179"/>
      <c r="H4" s="179"/>
      <c r="I4" s="179"/>
    </row>
    <row r="5" spans="2:9" ht="15.75" customHeight="1" x14ac:dyDescent="0.25">
      <c r="E5" s="179"/>
      <c r="F5" s="179"/>
      <c r="G5" s="179"/>
      <c r="H5" s="179"/>
      <c r="I5" s="179"/>
    </row>
    <row r="6" spans="2:9" ht="15.75" customHeight="1" x14ac:dyDescent="0.25">
      <c r="E6" s="180"/>
      <c r="F6" s="180"/>
      <c r="G6" s="180"/>
      <c r="H6" s="180"/>
      <c r="I6" s="180"/>
    </row>
    <row r="7" spans="2:9" ht="27" customHeight="1" x14ac:dyDescent="0.35">
      <c r="E7" s="181" t="s">
        <v>1</v>
      </c>
      <c r="F7" s="182"/>
      <c r="G7" s="182"/>
      <c r="H7" s="182"/>
      <c r="I7" s="183"/>
    </row>
    <row r="8" spans="2:9" ht="27" customHeight="1" x14ac:dyDescent="0.35">
      <c r="E8" s="184">
        <v>46235</v>
      </c>
      <c r="F8" s="185"/>
      <c r="G8" s="185"/>
      <c r="H8" s="185"/>
      <c r="I8" s="186"/>
    </row>
    <row r="11" spans="2:9" ht="26.25" x14ac:dyDescent="0.4">
      <c r="B11" s="26" t="s">
        <v>2</v>
      </c>
    </row>
    <row r="27" spans="2:2" ht="26.25" x14ac:dyDescent="0.4">
      <c r="B27" s="26" t="s">
        <v>3</v>
      </c>
    </row>
    <row r="77" spans="2:3" x14ac:dyDescent="0.25">
      <c r="B77" s="4" t="s">
        <v>4</v>
      </c>
    </row>
    <row r="78" spans="2:3" x14ac:dyDescent="0.25">
      <c r="B78" s="4" t="s">
        <v>274</v>
      </c>
      <c r="C78" s="92" t="s">
        <v>266</v>
      </c>
    </row>
    <row r="79" spans="2:3" x14ac:dyDescent="0.25">
      <c r="C79" s="92"/>
    </row>
    <row r="80" spans="2:3" x14ac:dyDescent="0.25">
      <c r="C80" s="92"/>
    </row>
  </sheetData>
  <sheetProtection sheet="1" objects="1" scenarios="1"/>
  <mergeCells count="3">
    <mergeCell ref="E3:I6"/>
    <mergeCell ref="E7:I7"/>
    <mergeCell ref="E8:I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R34"/>
  <sheetViews>
    <sheetView zoomScaleNormal="100" workbookViewId="0">
      <selection activeCell="E24" sqref="E24"/>
    </sheetView>
  </sheetViews>
  <sheetFormatPr defaultColWidth="10.875" defaultRowHeight="15.75" x14ac:dyDescent="0.25"/>
  <cols>
    <col min="1" max="1" width="1.5" style="4" customWidth="1"/>
    <col min="2" max="2" width="10.75" style="4" customWidth="1"/>
    <col min="3" max="3" width="9" style="4" customWidth="1"/>
    <col min="4" max="4" width="8" style="4" bestFit="1" customWidth="1"/>
    <col min="5" max="5" width="9.625" style="4" bestFit="1" customWidth="1"/>
    <col min="6" max="6" width="8.375" style="4" customWidth="1"/>
    <col min="7" max="7" width="8.25" style="4" customWidth="1"/>
    <col min="8" max="8" width="10.75" style="4" customWidth="1"/>
    <col min="9" max="9" width="9.125" style="4" customWidth="1"/>
    <col min="10" max="10" width="9.75" style="4" bestFit="1" customWidth="1"/>
    <col min="11" max="11" width="7.375" style="4" bestFit="1" customWidth="1"/>
    <col min="12" max="12" width="10.25" style="4" bestFit="1" customWidth="1"/>
    <col min="13" max="13" width="10.375" style="4" customWidth="1"/>
    <col min="14" max="14" width="9.625" style="4" bestFit="1" customWidth="1"/>
    <col min="15" max="18" width="16.25" style="4" customWidth="1"/>
    <col min="19" max="16384" width="10.875" style="4"/>
  </cols>
  <sheetData>
    <row r="1" spans="2:14" s="1" customFormat="1" x14ac:dyDescent="0.25"/>
    <row r="2" spans="2:14" s="1" customFormat="1" ht="10.15" customHeight="1" x14ac:dyDescent="0.25">
      <c r="E2" s="188" t="s">
        <v>269</v>
      </c>
      <c r="F2" s="188"/>
      <c r="G2" s="188"/>
      <c r="H2" s="188"/>
      <c r="I2" s="188"/>
      <c r="J2" s="188"/>
      <c r="K2" s="188"/>
      <c r="L2" s="188"/>
      <c r="M2" s="188"/>
      <c r="N2" s="188"/>
    </row>
    <row r="3" spans="2:14" s="1" customFormat="1" ht="28.15" customHeight="1" x14ac:dyDescent="0.25">
      <c r="E3" s="188"/>
      <c r="F3" s="188"/>
      <c r="G3" s="188"/>
      <c r="H3" s="188"/>
      <c r="I3" s="188"/>
      <c r="J3" s="188"/>
      <c r="K3" s="188"/>
      <c r="L3" s="188"/>
      <c r="M3" s="188"/>
      <c r="N3" s="188"/>
    </row>
    <row r="4" spans="2:14" s="1" customFormat="1" ht="12" customHeight="1" x14ac:dyDescent="0.25">
      <c r="E4" s="188"/>
      <c r="F4" s="188"/>
      <c r="G4" s="188"/>
      <c r="H4" s="188"/>
      <c r="I4" s="188"/>
      <c r="J4" s="188"/>
      <c r="K4" s="188"/>
      <c r="L4" s="188"/>
      <c r="M4" s="188"/>
      <c r="N4" s="188"/>
    </row>
    <row r="5" spans="2:14" s="1" customFormat="1" ht="8.4499999999999993" customHeight="1" x14ac:dyDescent="0.25"/>
    <row r="6" spans="2:14" ht="18.75" x14ac:dyDescent="0.25">
      <c r="D6" s="189" t="s">
        <v>5</v>
      </c>
      <c r="E6" s="189"/>
      <c r="F6" s="189"/>
      <c r="G6" s="189"/>
      <c r="H6" s="189"/>
      <c r="I6" s="189"/>
      <c r="J6" s="189"/>
      <c r="K6" s="189"/>
      <c r="L6" s="189"/>
      <c r="M6" s="189"/>
      <c r="N6" s="189"/>
    </row>
    <row r="7" spans="2:14" s="2" customFormat="1" ht="18.75" thickBot="1" x14ac:dyDescent="0.3">
      <c r="D7" s="190" t="s">
        <v>6</v>
      </c>
      <c r="E7" s="190"/>
      <c r="F7" s="190"/>
      <c r="G7" s="190"/>
      <c r="H7" s="190"/>
      <c r="I7" s="190"/>
      <c r="J7" s="190"/>
      <c r="K7" s="190"/>
      <c r="L7" s="190"/>
      <c r="M7" s="190"/>
      <c r="N7" s="190"/>
    </row>
    <row r="8" spans="2:14" s="3" customFormat="1" ht="36" customHeight="1" x14ac:dyDescent="0.25">
      <c r="B8" s="31"/>
      <c r="C8" s="31"/>
      <c r="D8" s="163" t="s">
        <v>7</v>
      </c>
      <c r="E8" s="164" t="s">
        <v>8</v>
      </c>
      <c r="F8" s="165" t="s">
        <v>9</v>
      </c>
      <c r="G8" s="164" t="s">
        <v>10</v>
      </c>
      <c r="H8" s="164" t="s">
        <v>11</v>
      </c>
      <c r="I8" s="164" t="s">
        <v>12</v>
      </c>
      <c r="J8" s="164" t="s">
        <v>13</v>
      </c>
      <c r="K8" s="164" t="s">
        <v>14</v>
      </c>
      <c r="L8" s="164" t="s">
        <v>15</v>
      </c>
      <c r="M8" s="164" t="s">
        <v>16</v>
      </c>
      <c r="N8" s="164" t="s">
        <v>251</v>
      </c>
    </row>
    <row r="9" spans="2:14" s="3" customFormat="1" ht="39" x14ac:dyDescent="0.25">
      <c r="B9" s="32" t="s">
        <v>17</v>
      </c>
      <c r="C9" s="32" t="s">
        <v>18</v>
      </c>
      <c r="D9" s="140" t="s">
        <v>19</v>
      </c>
      <c r="E9" s="83" t="s">
        <v>20</v>
      </c>
      <c r="F9" s="141" t="s">
        <v>21</v>
      </c>
      <c r="G9" s="83" t="s">
        <v>267</v>
      </c>
      <c r="H9" s="83" t="s">
        <v>22</v>
      </c>
      <c r="I9" s="83" t="s">
        <v>23</v>
      </c>
      <c r="J9" s="83" t="s">
        <v>24</v>
      </c>
      <c r="K9" s="83" t="s">
        <v>25</v>
      </c>
      <c r="L9" s="83" t="s">
        <v>26</v>
      </c>
      <c r="M9" s="83" t="s">
        <v>27</v>
      </c>
      <c r="N9" s="83" t="s">
        <v>252</v>
      </c>
    </row>
    <row r="10" spans="2:14" s="2" customFormat="1" ht="24" customHeight="1" x14ac:dyDescent="0.25">
      <c r="B10" s="33">
        <v>0.1</v>
      </c>
      <c r="C10" s="33">
        <v>0.11363636363636365</v>
      </c>
      <c r="D10" s="34">
        <v>480</v>
      </c>
      <c r="E10" s="34">
        <v>260</v>
      </c>
      <c r="F10" s="34">
        <v>1070</v>
      </c>
      <c r="G10" s="34">
        <v>280</v>
      </c>
      <c r="H10" s="34">
        <v>1450</v>
      </c>
      <c r="I10" s="34">
        <v>280</v>
      </c>
      <c r="J10" s="34">
        <v>280</v>
      </c>
      <c r="K10" s="34">
        <v>290</v>
      </c>
      <c r="L10" s="34">
        <v>620</v>
      </c>
      <c r="M10" s="34">
        <v>1080</v>
      </c>
      <c r="N10" s="34">
        <v>320</v>
      </c>
    </row>
    <row r="11" spans="2:14" s="2" customFormat="1" ht="24" customHeight="1" x14ac:dyDescent="0.25">
      <c r="B11" s="35">
        <v>0.11</v>
      </c>
      <c r="C11" s="35">
        <v>0.125</v>
      </c>
      <c r="D11" s="36">
        <v>570</v>
      </c>
      <c r="E11" s="36">
        <v>300</v>
      </c>
      <c r="F11" s="36">
        <v>1260</v>
      </c>
      <c r="G11" s="36">
        <v>340</v>
      </c>
      <c r="H11" s="36">
        <v>1620</v>
      </c>
      <c r="I11" s="36">
        <v>360</v>
      </c>
      <c r="J11" s="36">
        <v>340</v>
      </c>
      <c r="K11" s="36">
        <v>350</v>
      </c>
      <c r="L11" s="36">
        <v>820</v>
      </c>
      <c r="M11" s="36">
        <v>1240</v>
      </c>
      <c r="N11" s="36">
        <v>390</v>
      </c>
    </row>
    <row r="12" spans="2:14" s="2" customFormat="1" ht="24" customHeight="1" x14ac:dyDescent="0.25">
      <c r="B12" s="33">
        <v>0.12</v>
      </c>
      <c r="C12" s="33">
        <v>0.13636363636363635</v>
      </c>
      <c r="D12" s="34">
        <v>680</v>
      </c>
      <c r="E12" s="34">
        <v>340</v>
      </c>
      <c r="F12" s="34">
        <v>1490</v>
      </c>
      <c r="G12" s="34">
        <v>410</v>
      </c>
      <c r="H12" s="34">
        <v>1790</v>
      </c>
      <c r="I12" s="34">
        <v>450</v>
      </c>
      <c r="J12" s="34">
        <v>410</v>
      </c>
      <c r="K12" s="34">
        <v>410</v>
      </c>
      <c r="L12" s="34">
        <v>1140</v>
      </c>
      <c r="M12" s="34">
        <v>1430</v>
      </c>
      <c r="N12" s="34">
        <v>480</v>
      </c>
    </row>
    <row r="13" spans="2:14" s="2" customFormat="1" ht="24" customHeight="1" x14ac:dyDescent="0.25">
      <c r="B13" s="35">
        <v>0.13</v>
      </c>
      <c r="C13" s="35">
        <v>0.14772727272727273</v>
      </c>
      <c r="D13" s="36">
        <v>810</v>
      </c>
      <c r="E13" s="36">
        <v>390</v>
      </c>
      <c r="F13" s="36">
        <v>1770</v>
      </c>
      <c r="G13" s="36">
        <v>500</v>
      </c>
      <c r="H13" s="36">
        <v>1970</v>
      </c>
      <c r="I13" s="36">
        <v>580</v>
      </c>
      <c r="J13" s="36">
        <v>500</v>
      </c>
      <c r="K13" s="36">
        <v>480</v>
      </c>
      <c r="L13" s="36">
        <v>1690</v>
      </c>
      <c r="M13" s="36">
        <v>1630</v>
      </c>
      <c r="N13" s="36">
        <v>600</v>
      </c>
    </row>
    <row r="14" spans="2:14" s="2" customFormat="1" ht="24" customHeight="1" x14ac:dyDescent="0.25">
      <c r="B14" s="33">
        <v>0.14000000000000001</v>
      </c>
      <c r="C14" s="33">
        <v>0.15909090909090912</v>
      </c>
      <c r="D14" s="34">
        <v>960</v>
      </c>
      <c r="E14" s="34">
        <v>450</v>
      </c>
      <c r="F14" s="34">
        <v>2100</v>
      </c>
      <c r="G14" s="34">
        <v>630</v>
      </c>
      <c r="H14" s="37" t="s">
        <v>254</v>
      </c>
      <c r="I14" s="34">
        <v>780</v>
      </c>
      <c r="J14" s="34">
        <v>620</v>
      </c>
      <c r="K14" s="34">
        <v>580</v>
      </c>
      <c r="L14" s="34">
        <v>2500</v>
      </c>
      <c r="M14" s="34">
        <v>1850</v>
      </c>
      <c r="N14" s="34">
        <v>760</v>
      </c>
    </row>
    <row r="15" spans="2:14" s="2" customFormat="1" ht="24" customHeight="1" x14ac:dyDescent="0.25">
      <c r="B15" s="35">
        <v>0.15</v>
      </c>
      <c r="C15" s="35">
        <v>0.17045454545454544</v>
      </c>
      <c r="D15" s="36">
        <v>1150</v>
      </c>
      <c r="E15" s="36">
        <v>510</v>
      </c>
      <c r="F15" s="36">
        <v>2500</v>
      </c>
      <c r="G15" s="36">
        <v>790</v>
      </c>
      <c r="H15" s="38" t="s">
        <v>254</v>
      </c>
      <c r="I15" s="36">
        <v>1110</v>
      </c>
      <c r="J15" s="36">
        <v>780</v>
      </c>
      <c r="K15" s="36">
        <v>690</v>
      </c>
      <c r="L15" s="38" t="s">
        <v>254</v>
      </c>
      <c r="M15" s="36">
        <v>2000</v>
      </c>
      <c r="N15" s="36">
        <v>990</v>
      </c>
    </row>
    <row r="16" spans="2:14" s="2" customFormat="1" ht="24" customHeight="1" x14ac:dyDescent="0.25">
      <c r="B16" s="39">
        <v>0.16</v>
      </c>
      <c r="C16" s="39">
        <v>0.18181818181818182</v>
      </c>
      <c r="D16" s="40">
        <v>1400</v>
      </c>
      <c r="E16" s="40">
        <v>590</v>
      </c>
      <c r="F16" s="40">
        <v>3000</v>
      </c>
      <c r="G16" s="40">
        <v>1040</v>
      </c>
      <c r="H16" s="41" t="s">
        <v>254</v>
      </c>
      <c r="I16" s="40">
        <v>1760</v>
      </c>
      <c r="J16" s="40">
        <v>1000</v>
      </c>
      <c r="K16" s="40">
        <v>830</v>
      </c>
      <c r="L16" s="41" t="s">
        <v>254</v>
      </c>
      <c r="M16" s="41" t="s">
        <v>254</v>
      </c>
      <c r="N16" s="40">
        <v>1350</v>
      </c>
    </row>
    <row r="17" spans="2:18" s="2" customFormat="1" ht="24" customHeight="1" x14ac:dyDescent="0.25">
      <c r="B17" s="187" t="s">
        <v>28</v>
      </c>
      <c r="C17" s="187"/>
      <c r="D17" s="42">
        <v>3000</v>
      </c>
      <c r="E17" s="42">
        <v>2000</v>
      </c>
      <c r="F17" s="42">
        <v>4000</v>
      </c>
      <c r="G17" s="42">
        <v>3000</v>
      </c>
      <c r="H17" s="42">
        <v>2000</v>
      </c>
      <c r="I17" s="42">
        <v>2000</v>
      </c>
      <c r="J17" s="42">
        <v>2000</v>
      </c>
      <c r="K17" s="42">
        <v>2000</v>
      </c>
      <c r="L17" s="42">
        <v>2500</v>
      </c>
      <c r="M17" s="42">
        <v>2000</v>
      </c>
      <c r="N17" s="42">
        <v>1500</v>
      </c>
    </row>
    <row r="18" spans="2:18" s="2" customFormat="1" ht="15.75" customHeight="1" x14ac:dyDescent="0.25">
      <c r="B18" s="43">
        <v>1</v>
      </c>
      <c r="C18" s="44" t="s">
        <v>29</v>
      </c>
      <c r="D18" s="44"/>
      <c r="E18" s="45"/>
      <c r="F18" s="45"/>
      <c r="G18" s="45"/>
      <c r="H18" s="45"/>
      <c r="I18" s="45"/>
      <c r="J18" s="45"/>
      <c r="K18" s="45"/>
      <c r="L18" s="45"/>
      <c r="M18" s="45"/>
      <c r="N18" s="45"/>
    </row>
    <row r="19" spans="2:18" s="2" customFormat="1" ht="15.75" customHeight="1" x14ac:dyDescent="0.25">
      <c r="B19" s="43">
        <v>2</v>
      </c>
      <c r="C19" s="45" t="s">
        <v>253</v>
      </c>
      <c r="D19" s="45"/>
      <c r="E19" s="45"/>
      <c r="F19" s="45"/>
      <c r="G19" s="45"/>
      <c r="H19" s="45"/>
      <c r="I19" s="45"/>
      <c r="J19" s="45"/>
      <c r="K19" s="45"/>
      <c r="L19" s="45"/>
      <c r="M19" s="45"/>
      <c r="N19" s="45"/>
    </row>
    <row r="20" spans="2:18" s="2" customFormat="1" ht="15.75" customHeight="1" x14ac:dyDescent="0.25">
      <c r="B20" s="43">
        <v>3</v>
      </c>
      <c r="C20" s="45" t="s">
        <v>30</v>
      </c>
      <c r="D20" s="45"/>
      <c r="E20" s="29"/>
      <c r="F20" s="29"/>
      <c r="G20" s="29"/>
      <c r="H20" s="29"/>
      <c r="I20" s="29"/>
      <c r="J20" s="29"/>
      <c r="K20" s="29"/>
      <c r="L20" s="29"/>
      <c r="M20" s="29"/>
      <c r="N20" s="29"/>
    </row>
    <row r="21" spans="2:18" s="2" customFormat="1" ht="18" x14ac:dyDescent="0.25">
      <c r="B21" s="29"/>
      <c r="C21" s="29"/>
      <c r="D21" s="29"/>
      <c r="E21" s="29"/>
      <c r="F21" s="29"/>
      <c r="G21" s="29"/>
      <c r="H21" s="29"/>
      <c r="I21" s="29"/>
      <c r="J21" s="29"/>
      <c r="K21" s="29"/>
      <c r="L21" s="29"/>
      <c r="M21" s="29"/>
      <c r="N21" s="29"/>
    </row>
    <row r="22" spans="2:18" s="2" customFormat="1" ht="18" x14ac:dyDescent="0.25"/>
    <row r="23" spans="2:18" s="2" customFormat="1" ht="18" x14ac:dyDescent="0.25"/>
    <row r="24" spans="2:18" s="2" customFormat="1" ht="18" x14ac:dyDescent="0.25"/>
    <row r="25" spans="2:18" s="2" customFormat="1" ht="18" x14ac:dyDescent="0.25"/>
    <row r="26" spans="2:18" s="2" customFormat="1" ht="18" x14ac:dyDescent="0.25"/>
    <row r="27" spans="2:18" s="2" customFormat="1" ht="18" x14ac:dyDescent="0.25"/>
    <row r="28" spans="2:18" s="2" customFormat="1" ht="18" x14ac:dyDescent="0.25"/>
    <row r="29" spans="2:18" s="2" customFormat="1" ht="18" x14ac:dyDescent="0.25">
      <c r="B29" s="4"/>
      <c r="C29" s="4"/>
      <c r="D29" s="4"/>
      <c r="E29" s="4"/>
      <c r="F29" s="4"/>
      <c r="G29" s="4"/>
      <c r="H29" s="4"/>
      <c r="I29" s="4"/>
      <c r="J29" s="4"/>
      <c r="K29" s="4"/>
      <c r="L29" s="4"/>
      <c r="M29" s="4"/>
      <c r="N29" s="4"/>
      <c r="O29" s="4"/>
      <c r="P29" s="4"/>
      <c r="Q29" s="4"/>
      <c r="R29" s="4"/>
    </row>
    <row r="30" spans="2:18" s="2" customFormat="1" ht="18" x14ac:dyDescent="0.25">
      <c r="B30" s="4"/>
      <c r="C30" s="4"/>
      <c r="D30" s="4"/>
      <c r="E30" s="4"/>
      <c r="F30" s="4"/>
      <c r="G30" s="4"/>
      <c r="H30" s="4"/>
      <c r="I30" s="4"/>
      <c r="J30" s="4"/>
      <c r="K30" s="4"/>
      <c r="L30" s="4"/>
      <c r="M30" s="4"/>
      <c r="N30" s="4"/>
      <c r="O30" s="4"/>
      <c r="P30" s="4"/>
      <c r="Q30" s="4"/>
      <c r="R30" s="4"/>
    </row>
    <row r="31" spans="2:18" s="2" customFormat="1" ht="18" x14ac:dyDescent="0.25">
      <c r="B31" s="4"/>
      <c r="C31" s="4"/>
      <c r="D31" s="4"/>
      <c r="E31" s="4"/>
      <c r="F31" s="4"/>
      <c r="G31" s="4"/>
      <c r="H31" s="4"/>
      <c r="I31" s="4"/>
      <c r="J31" s="4"/>
      <c r="K31" s="4"/>
      <c r="L31" s="4"/>
      <c r="M31" s="4"/>
      <c r="N31" s="4"/>
      <c r="O31" s="4"/>
      <c r="P31" s="4"/>
      <c r="Q31" s="4"/>
      <c r="R31" s="4"/>
    </row>
    <row r="32" spans="2:18" s="2" customFormat="1" ht="18" x14ac:dyDescent="0.25">
      <c r="B32" s="4"/>
      <c r="C32" s="4"/>
      <c r="D32" s="4"/>
      <c r="E32" s="4"/>
      <c r="F32" s="4"/>
      <c r="G32" s="4"/>
      <c r="H32" s="4"/>
      <c r="I32" s="4"/>
      <c r="J32" s="4"/>
      <c r="K32" s="4"/>
      <c r="L32" s="4"/>
      <c r="M32" s="4"/>
      <c r="N32" s="4"/>
      <c r="O32" s="4"/>
      <c r="P32" s="4"/>
      <c r="Q32" s="4"/>
      <c r="R32" s="4"/>
    </row>
    <row r="33" spans="2:18" s="2" customFormat="1" ht="18" x14ac:dyDescent="0.25">
      <c r="B33" s="4"/>
      <c r="C33" s="4"/>
      <c r="D33" s="4"/>
      <c r="E33" s="4"/>
      <c r="F33" s="4"/>
      <c r="G33" s="4"/>
      <c r="H33" s="4"/>
      <c r="I33" s="4"/>
      <c r="J33" s="4"/>
      <c r="K33" s="4"/>
      <c r="L33" s="4"/>
      <c r="M33" s="4"/>
      <c r="N33" s="4"/>
      <c r="O33" s="4"/>
      <c r="P33" s="4"/>
      <c r="Q33" s="4"/>
      <c r="R33" s="4"/>
    </row>
    <row r="34" spans="2:18" s="2" customFormat="1" ht="18" x14ac:dyDescent="0.25">
      <c r="B34" s="4"/>
      <c r="C34" s="4"/>
      <c r="D34" s="4"/>
      <c r="E34" s="4"/>
      <c r="F34" s="4"/>
      <c r="G34" s="4"/>
      <c r="H34" s="4"/>
      <c r="I34" s="4"/>
      <c r="J34" s="4"/>
      <c r="K34" s="4"/>
      <c r="L34" s="4"/>
      <c r="M34" s="4"/>
      <c r="N34" s="4"/>
      <c r="O34" s="4"/>
      <c r="P34" s="4"/>
      <c r="Q34" s="4"/>
      <c r="R34" s="4"/>
    </row>
  </sheetData>
  <sheetProtection sheet="1" objects="1" scenarios="1"/>
  <mergeCells count="4">
    <mergeCell ref="B17:C17"/>
    <mergeCell ref="E2:N4"/>
    <mergeCell ref="D6:N6"/>
    <mergeCell ref="D7:N7"/>
  </mergeCells>
  <pageMargins left="0.25" right="0.25"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N59"/>
  <sheetViews>
    <sheetView zoomScaleNormal="100" workbookViewId="0">
      <selection activeCell="F5" sqref="F5"/>
    </sheetView>
  </sheetViews>
  <sheetFormatPr defaultColWidth="10.875" defaultRowHeight="15.75" x14ac:dyDescent="0.25"/>
  <cols>
    <col min="1" max="1" width="1.375" style="4" customWidth="1"/>
    <col min="2" max="2" width="5" style="4" customWidth="1"/>
    <col min="3" max="3" width="17.5" style="4" customWidth="1"/>
    <col min="4" max="4" width="8.625" style="4" customWidth="1"/>
    <col min="5" max="5" width="9.5" style="4" customWidth="1"/>
    <col min="6" max="6" width="9" style="4" customWidth="1"/>
    <col min="7" max="7" width="8" style="4" customWidth="1"/>
    <col min="8" max="8" width="10.875" style="4" bestFit="1" customWidth="1"/>
    <col min="9" max="9" width="8.125" style="4" customWidth="1"/>
    <col min="10" max="10" width="9.75" style="4" bestFit="1" customWidth="1"/>
    <col min="11" max="11" width="7.375" style="4" bestFit="1" customWidth="1"/>
    <col min="12" max="12" width="7.75" style="4" bestFit="1" customWidth="1"/>
    <col min="13" max="13" width="11.75" style="4" customWidth="1"/>
    <col min="14" max="14" width="9.625" style="4" bestFit="1" customWidth="1"/>
    <col min="15" max="16384" width="10.875" style="4"/>
  </cols>
  <sheetData>
    <row r="1" spans="2:14" s="1" customFormat="1" ht="24.75" customHeight="1" x14ac:dyDescent="0.25"/>
    <row r="2" spans="2:14" s="1" customFormat="1" ht="15.75" customHeight="1" x14ac:dyDescent="0.25">
      <c r="E2" s="145"/>
      <c r="F2" s="188" t="s">
        <v>268</v>
      </c>
      <c r="G2" s="188"/>
      <c r="H2" s="188"/>
      <c r="I2" s="188"/>
      <c r="J2" s="188"/>
      <c r="K2" s="188"/>
      <c r="L2" s="188"/>
      <c r="M2" s="188"/>
      <c r="N2" s="188"/>
    </row>
    <row r="3" spans="2:14" s="1" customFormat="1" ht="31.5" customHeight="1" x14ac:dyDescent="0.25">
      <c r="E3" s="145"/>
      <c r="F3" s="188"/>
      <c r="G3" s="188"/>
      <c r="H3" s="188"/>
      <c r="I3" s="188"/>
      <c r="J3" s="188"/>
      <c r="K3" s="188"/>
      <c r="L3" s="188"/>
      <c r="M3" s="188"/>
      <c r="N3" s="188"/>
    </row>
    <row r="4" spans="2:14" s="1" customFormat="1" ht="15.75" customHeight="1" x14ac:dyDescent="0.25">
      <c r="E4" s="145"/>
      <c r="F4" s="188"/>
      <c r="G4" s="188"/>
      <c r="H4" s="188"/>
      <c r="I4" s="188"/>
      <c r="J4" s="188"/>
      <c r="K4" s="188"/>
      <c r="L4" s="188"/>
      <c r="M4" s="188"/>
      <c r="N4" s="188"/>
    </row>
    <row r="5" spans="2:14" s="1" customFormat="1" ht="16.5" customHeight="1" x14ac:dyDescent="0.25"/>
    <row r="6" spans="2:14" s="2" customFormat="1" ht="18" x14ac:dyDescent="0.25">
      <c r="C6" s="57"/>
      <c r="D6" s="57"/>
      <c r="E6" s="29"/>
      <c r="F6" s="29"/>
      <c r="G6" s="29"/>
      <c r="H6" s="194" t="s">
        <v>31</v>
      </c>
      <c r="I6" s="194"/>
      <c r="J6" s="194"/>
      <c r="K6" s="194"/>
      <c r="L6" s="29"/>
      <c r="M6" s="29"/>
      <c r="N6" s="29"/>
    </row>
    <row r="7" spans="2:14" s="2" customFormat="1" ht="18" x14ac:dyDescent="0.25">
      <c r="D7" s="62" t="s">
        <v>32</v>
      </c>
      <c r="E7" s="59">
        <v>0.28000000000000003</v>
      </c>
      <c r="F7" s="45" t="s">
        <v>33</v>
      </c>
      <c r="G7" s="45"/>
      <c r="H7" s="45"/>
      <c r="I7" s="45"/>
      <c r="J7" s="63"/>
      <c r="K7" s="45"/>
      <c r="L7" s="145"/>
      <c r="M7" s="145"/>
      <c r="N7" s="155"/>
    </row>
    <row r="8" spans="2:14" s="2" customFormat="1" ht="18" x14ac:dyDescent="0.25">
      <c r="D8" s="62" t="s">
        <v>34</v>
      </c>
      <c r="E8" s="60">
        <v>0.7</v>
      </c>
      <c r="F8" s="45"/>
      <c r="G8" s="45"/>
      <c r="H8" s="45"/>
      <c r="I8" s="63"/>
      <c r="J8" s="63"/>
      <c r="K8" s="45"/>
      <c r="L8" s="29"/>
      <c r="M8" s="29"/>
      <c r="N8" s="29"/>
    </row>
    <row r="9" spans="2:14" s="2" customFormat="1" ht="6.75" customHeight="1" x14ac:dyDescent="0.25">
      <c r="C9" s="58"/>
      <c r="D9" s="58"/>
      <c r="E9" s="58"/>
      <c r="F9" s="29"/>
      <c r="G9" s="29"/>
      <c r="H9" s="29"/>
      <c r="I9" s="145"/>
      <c r="J9" s="145"/>
      <c r="K9" s="145"/>
      <c r="L9" s="145"/>
      <c r="M9" s="145"/>
      <c r="N9" s="155"/>
    </row>
    <row r="10" spans="2:14" s="2" customFormat="1" ht="19.5" thickBot="1" x14ac:dyDescent="0.3">
      <c r="C10" s="3"/>
      <c r="D10" s="190" t="s">
        <v>35</v>
      </c>
      <c r="E10" s="190"/>
      <c r="F10" s="190"/>
      <c r="G10" s="190"/>
      <c r="H10" s="190"/>
      <c r="I10" s="190"/>
      <c r="J10" s="190"/>
      <c r="K10" s="190"/>
      <c r="L10" s="190"/>
      <c r="M10" s="190"/>
      <c r="N10" s="190"/>
    </row>
    <row r="11" spans="2:14" s="2" customFormat="1" ht="26.25" x14ac:dyDescent="0.25">
      <c r="C11" s="30" t="s">
        <v>36</v>
      </c>
      <c r="D11" s="163" t="s">
        <v>7</v>
      </c>
      <c r="E11" s="164" t="s">
        <v>8</v>
      </c>
      <c r="F11" s="165" t="s">
        <v>9</v>
      </c>
      <c r="G11" s="164" t="s">
        <v>10</v>
      </c>
      <c r="H11" s="164" t="s">
        <v>11</v>
      </c>
      <c r="I11" s="164" t="s">
        <v>12</v>
      </c>
      <c r="J11" s="164" t="s">
        <v>13</v>
      </c>
      <c r="K11" s="164" t="s">
        <v>14</v>
      </c>
      <c r="L11" s="164" t="s">
        <v>15</v>
      </c>
      <c r="M11" s="164" t="s">
        <v>16</v>
      </c>
      <c r="N11" s="164" t="s">
        <v>251</v>
      </c>
    </row>
    <row r="12" spans="2:14" s="3" customFormat="1" ht="29.25" customHeight="1" x14ac:dyDescent="0.25">
      <c r="C12" s="61" t="s">
        <v>37</v>
      </c>
      <c r="D12" s="140" t="s">
        <v>19</v>
      </c>
      <c r="E12" s="83" t="s">
        <v>20</v>
      </c>
      <c r="F12" s="141" t="s">
        <v>21</v>
      </c>
      <c r="G12" s="83" t="s">
        <v>267</v>
      </c>
      <c r="H12" s="83" t="s">
        <v>22</v>
      </c>
      <c r="I12" s="83" t="s">
        <v>23</v>
      </c>
      <c r="J12" s="83" t="s">
        <v>24</v>
      </c>
      <c r="K12" s="83" t="s">
        <v>25</v>
      </c>
      <c r="L12" s="83" t="s">
        <v>26</v>
      </c>
      <c r="M12" s="83" t="s">
        <v>27</v>
      </c>
      <c r="N12" s="83" t="s">
        <v>252</v>
      </c>
    </row>
    <row r="13" spans="2:14" s="3" customFormat="1" ht="17.45" customHeight="1" x14ac:dyDescent="0.25">
      <c r="B13" s="192" t="s">
        <v>38</v>
      </c>
      <c r="C13" s="46">
        <v>250</v>
      </c>
      <c r="D13" s="47">
        <f>IF(IF(C13&lt;='2025 Regression Curves'!$F$5,('2025 Regression Curves'!$D$5*C13)/('2025 Regression Curves'!$E$5+C13),('2025 Regression Curves'!$D$5*'2025 Regression Curves'!$F$5)/('2025 Regression Curves'!$E$5+'2025 Regression Curves'!$F$5))&lt;=($E$7*$E$8),IF(C13&lt;='2025 Regression Curves'!$F$5,('2025 Regression Curves'!$D$5*C13)/('2025 Regression Curves'!$E$5+C13),('2025 Regression Curves'!$D$5*'2025 Regression Curves'!$F$5)/('2025 Regression Curves'!$E$5+'2025 Regression Curves'!$F$5)),($E$7*$E$8))</f>
        <v>6.5982107006059068E-2</v>
      </c>
      <c r="E13" s="47">
        <f>IF(IF(C13&lt;='2025 Regression Curves'!$F$6,('2025 Regression Curves'!$D$6*C13)/('2025 Regression Curves'!$E$6+C13),('2025 Regression Curves'!$D$6*'2025 Regression Curves'!$F$6)/('2025 Regression Curves'!$E$6+'2025 Regression Curves'!$F$6))&lt;=($E$7*$E$8),IF(C13&lt;='2025 Regression Curves'!$F$6,('2025 Regression Curves'!$D$6*C13)/('2025 Regression Curves'!$E$6+C13),('2025 Regression Curves'!$D$6*'2025 Regression Curves'!$F$6)/('2025 Regression Curves'!$E$6+'2025 Regression Curves'!$F$6)),($E$7*$E$8))</f>
        <v>9.9466991794478946E-2</v>
      </c>
      <c r="F13" s="47">
        <f>IF(IF(C13&lt;='2025 Regression Curves'!$F$7,('2025 Regression Curves'!$D$7*C13)/('2025 Regression Curves'!$E$7+C13),('2025 Regression Curves'!$D$7*'2025 Regression Curves'!$F$7)/('2025 Regression Curves'!$E$7+'2025 Regression Curves'!$F$7))&lt;=($E$7*$E$8),IF(C13&lt;='2025 Regression Curves'!$F$7,('2025 Regression Curves'!$D$7*C13)/('2025 Regression Curves'!$E$7+C13),('2025 Regression Curves'!$D$7*'2025 Regression Curves'!$F$7)/('2025 Regression Curves'!$E$7+'2025 Regression Curves'!$F$7)),($E$7*$E$8))</f>
        <v>3.4571195163983673E-2</v>
      </c>
      <c r="G13" s="47">
        <f>IF(IF(C13&lt;='2025 Regression Curves'!$F$8,('2025 Regression Curves'!$D$8*C13)/('2025 Regression Curves'!$E$8+C13),('2025 Regression Curves'!$D$8*'2025 Regression Curves'!$F$8)/('2025 Regression Curves'!$E$8+'2025 Regression Curves'!$F$8))&lt;=($E$7*$E$8),IF(C13&lt;='2025 Regression Curves'!$F$8,('2025 Regression Curves'!$D$8*C13)/('2025 Regression Curves'!$E$8+C13),('2025 Regression Curves'!$D$8*'2025 Regression Curves'!$F$8)/('2025 Regression Curves'!$E$8+'2025 Regression Curves'!$F$8)),($E$7*$E$8))</f>
        <v>9.1620649789582342E-2</v>
      </c>
      <c r="H13" s="47">
        <f>IF(IF(C13&lt;='2025 Regression Curves'!$F$9,('2025 Regression Curves'!$D$9*C13)/('2025 Regression Curves'!$E$9+C13),('2025 Regression Curves'!$D$9*'2025 Regression Curves'!$F$9)/('2025 Regression Curves'!$E$9+'2025 Regression Curves'!$F$9))&lt;=($E$7*$E$8),IF(C13&lt;='2025 Regression Curves'!$F$9,('2025 Regression Curves'!$D$9*C13)/('2025 Regression Curves'!$E$9+C13),('2025 Regression Curves'!$D$9*'2025 Regression Curves'!$F$9)/('2025 Regression Curves'!$E$9+'2025 Regression Curves'!$F$9)),($E$7*$E$8))</f>
        <v>1.9442589586427184E-2</v>
      </c>
      <c r="I13" s="47">
        <f>IF(IF(C13&lt;='2025 Regression Curves'!$F$10,('2025 Regression Curves'!$D$10*C13)/('2025 Regression Curves'!$E$10+C13),('2025 Regression Curves'!$D$10*'2025 Regression Curves'!$F$10)/('2025 Regression Curves'!$E$10+'2025 Regression Curves'!$F$10))&lt;=($E$7*$E$8),IF(C13&lt;='2025 Regression Curves'!$F$10,('2025 Regression Curves'!$D$10*C13)/('2025 Regression Curves'!$E$10+C13),('2025 Regression Curves'!$D$10*'2025 Regression Curves'!$F$10)/('2025 Regression Curves'!$E$10+'2025 Regression Curves'!$F$10)),($E$7*$E$8))</f>
        <v>9.5453864668569421E-2</v>
      </c>
      <c r="J13" s="47">
        <f>IF(IF(C13&lt;='2025 Regression Curves'!$F$11,('2025 Regression Curves'!$D$11*C13)/('2025 Regression Curves'!$E$11+C13),('2025 Regression Curves'!$D$11*'2025 Regression Curves'!$F$11)/('2025 Regression Curves'!$E$11+'2025 Regression Curves'!$F$11))&lt;=($E$7*$E$8),IF(C13&lt;='2025 Regression Curves'!$F$11,('2025 Regression Curves'!$D$11*C13)/('2025 Regression Curves'!$E$11+C13),('2025 Regression Curves'!$D$11*'2025 Regression Curves'!$F$11)/('2025 Regression Curves'!$E$11+'2025 Regression Curves'!$F$11)),($E$7*$E$8))</f>
        <v>9.5979740891614887E-2</v>
      </c>
      <c r="K13" s="47">
        <f>IF(IF(C13&lt;='2025 Regression Curves'!$F$12,('2025 Regression Curves'!$D$12*C13)/('2025 Regression Curves'!$E$12+C13),('2025 Regression Curves'!$D$12*'2025 Regression Curves'!$F$12)/('2025 Regression Curves'!$E$12+'2025 Regression Curves'!$F$12))&lt;=($E$7*$E$8),IF(C13&lt;='2025 Regression Curves'!$F$12,('2025 Regression Curves'!$D$12*C13)/('2025 Regression Curves'!$E$12+C13),('2025 Regression Curves'!$D$12*'2025 Regression Curves'!$F$12)/('2025 Regression Curves'!$E$12+'2025 Regression Curves'!$F$12)),($E$7*$E$8))</f>
        <v>9.2152222977141568E-2</v>
      </c>
      <c r="L13" s="47">
        <f>IF(IF(C13&lt;='2025 Regression Curves'!$F$13,('2025 Regression Curves'!$D$13*C13)/('2025 Regression Curves'!$E$13+C13),('2025 Regression Curves'!$D$13*'2025 Regression Curves'!$F$13)/('2025 Regression Curves'!$E$13+'2025 Regression Curves'!$F$13))&lt;=($E$7*$E$8),IF(C13&lt;='2025 Regression Curves'!$F$13,('2025 Regression Curves'!$D$13*C13)/('2025 Regression Curves'!$E$13+C13),('2025 Regression Curves'!$D$13*'2025 Regression Curves'!$F$13)/('2025 Regression Curves'!$E$13+'2025 Regression Curves'!$F$13)),($E$7*$E$8))</f>
        <v>6.5895617983375829E-2</v>
      </c>
      <c r="M13" s="47">
        <f>IF(IF(C13&lt;='2025 Regression Curves'!$F$14,('2025 Regression Curves'!$D$14*C13)/('2025 Regression Curves'!$E$14+C13),('2025 Regression Curves'!$D$14*'2025 Regression Curves'!$F$14)/('2025 Regression Curves'!$E$14+'2025 Regression Curves'!$F$14))&lt;=($E$7*$E$8),IF(C13&lt;='2025 Regression Curves'!$F$14,('2025 Regression Curves'!$D$14*C13)/('2025 Regression Curves'!$E$14+C13),('2025 Regression Curves'!$D$14*'2025 Regression Curves'!$F$14)/('2025 Regression Curves'!$E$14+'2025 Regression Curves'!$F$14)),($E$7*$E$8))</f>
        <v>3.0714078093208023E-2</v>
      </c>
      <c r="N13" s="47">
        <f>IF(IF(C13&lt;='2025 Regression Curves'!$F$15,('2025 Regression Curves'!$D$15*C13)/('2025 Regression Curves'!$E$15+C13),('2025 Regression Curves'!$D$15*'2025 Regression Curves'!$F$15)/('2025 Regression Curves'!$E$15+'2025 Regression Curves'!$F$15))&lt;=($E$7*$E$8),IF(C13&lt;='2025 Regression Curves'!$F$15,('2025 Regression Curves'!$D$15*C13)/('2025 Regression Curves'!$E$15+C13),('2025 Regression Curves'!$D$15*'2025 Regression Curves'!$F$15)/('2025 Regression Curves'!$E$15+'2025 Regression Curves'!$F$15)),($E$7*$E$8))</f>
        <v>8.8791373625085851E-2</v>
      </c>
    </row>
    <row r="14" spans="2:14" s="3" customFormat="1" ht="17.45" customHeight="1" x14ac:dyDescent="0.25">
      <c r="B14" s="192"/>
      <c r="C14" s="48">
        <v>300</v>
      </c>
      <c r="D14" s="49">
        <f>IF(IF(C14&lt;='2025 Regression Curves'!$F$5,('2025 Regression Curves'!$D$5*C14)/('2025 Regression Curves'!$E$5+C14),('2025 Regression Curves'!$D$5*'2025 Regression Curves'!$F$5)/('2025 Regression Curves'!$E$5+'2025 Regression Curves'!$F$5))&lt;=($E$7*$E$8),IF(C14&lt;='2025 Regression Curves'!$F$5,('2025 Regression Curves'!$D$5*C14)/('2025 Regression Curves'!$E$5+C14),('2025 Regression Curves'!$D$5*'2025 Regression Curves'!$F$5)/('2025 Regression Curves'!$E$5+'2025 Regression Curves'!$F$5)),($E$7*$E$8))</f>
        <v>7.495163377478635E-2</v>
      </c>
      <c r="E14" s="49">
        <f>IF(IF(C14&lt;='2025 Regression Curves'!$F$6,('2025 Regression Curves'!$D$6*C14)/('2025 Regression Curves'!$E$6+C14),('2025 Regression Curves'!$D$6*'2025 Regression Curves'!$F$6)/('2025 Regression Curves'!$E$6+'2025 Regression Curves'!$F$6))&lt;=($E$7*$E$8),IF(C14&lt;='2025 Regression Curves'!$F$6,('2025 Regression Curves'!$D$6*C14)/('2025 Regression Curves'!$E$6+C14),('2025 Regression Curves'!$D$6*'2025 Regression Curves'!$F$6)/('2025 Regression Curves'!$E$6+'2025 Regression Curves'!$F$6)),($E$7*$E$8))</f>
        <v>0.11181979450427822</v>
      </c>
      <c r="F14" s="49">
        <f>IF(IF(C14&lt;='2025 Regression Curves'!$F$7,('2025 Regression Curves'!$D$7*C14)/('2025 Regression Curves'!$E$7+C14),('2025 Regression Curves'!$D$7*'2025 Regression Curves'!$F$7)/('2025 Regression Curves'!$E$7+'2025 Regression Curves'!$F$7))&lt;=($E$7*$E$8),IF(C14&lt;='2025 Regression Curves'!$F$7,('2025 Regression Curves'!$D$7*C14)/('2025 Regression Curves'!$E$7+C14),('2025 Regression Curves'!$D$7*'2025 Regression Curves'!$F$7)/('2025 Regression Curves'!$E$7+'2025 Regression Curves'!$F$7)),($E$7*$E$8))</f>
        <v>4.0314247868257096E-2</v>
      </c>
      <c r="G14" s="49">
        <f>IF(IF(C14&lt;='2025 Regression Curves'!$F$8,('2025 Regression Curves'!$D$8*C14)/('2025 Regression Curves'!$E$8+C14),('2025 Regression Curves'!$D$8*'2025 Regression Curves'!$F$8)/('2025 Regression Curves'!$E$8+'2025 Regression Curves'!$F$8))&lt;=($E$7*$E$8),IF(C14&lt;='2025 Regression Curves'!$F$8,('2025 Regression Curves'!$D$8*C14)/('2025 Regression Curves'!$E$8+C14),('2025 Regression Curves'!$D$8*'2025 Regression Curves'!$F$8)/('2025 Regression Curves'!$E$8+'2025 Regression Curves'!$F$8)),($E$7*$E$8))</f>
        <v>0.10100369370995838</v>
      </c>
      <c r="H14" s="49">
        <f>IF(IF(C14&lt;='2025 Regression Curves'!$F$9,('2025 Regression Curves'!$D$9*C14)/('2025 Regression Curves'!$E$9+C14),('2025 Regression Curves'!$D$9*'2025 Regression Curves'!$F$9)/('2025 Regression Curves'!$E$9+'2025 Regression Curves'!$F$9))&lt;=($E$7*$E$8),IF(C14&lt;='2025 Regression Curves'!$F$9,('2025 Regression Curves'!$D$9*C14)/('2025 Regression Curves'!$E$9+C14),('2025 Regression Curves'!$D$9*'2025 Regression Curves'!$F$9)/('2025 Regression Curves'!$E$9+'2025 Regression Curves'!$F$9)),($E$7*$E$8))</f>
        <v>2.3213267806864401E-2</v>
      </c>
      <c r="I14" s="49">
        <f>IF(IF(C14&lt;='2025 Regression Curves'!$F$10,('2025 Regression Curves'!$D$10*C14)/('2025 Regression Curves'!$E$10+C14),('2025 Regression Curves'!$D$10*'2025 Regression Curves'!$F$10)/('2025 Regression Curves'!$E$10+'2025 Regression Curves'!$F$10))&lt;=($E$7*$E$8),IF(C14&lt;='2025 Regression Curves'!$F$10,('2025 Regression Curves'!$D$10*C14)/('2025 Regression Curves'!$E$10+C14),('2025 Regression Curves'!$D$10*'2025 Regression Curves'!$F$10)/('2025 Regression Curves'!$E$10+'2025 Regression Curves'!$F$10)),($E$7*$E$8))</f>
        <v>0.10361586944782093</v>
      </c>
      <c r="J14" s="49">
        <f>IF(IF(C14&lt;='2025 Regression Curves'!$F$11,('2025 Regression Curves'!$D$11*C14)/('2025 Regression Curves'!$E$11+C14),('2025 Regression Curves'!$D$11*'2025 Regression Curves'!$F$11)/('2025 Regression Curves'!$E$11+'2025 Regression Curves'!$F$11))&lt;=($E$7*$E$8),IF(C14&lt;='2025 Regression Curves'!$F$11,('2025 Regression Curves'!$D$11*C14)/('2025 Regression Curves'!$E$11+C14),('2025 Regression Curves'!$D$11*'2025 Regression Curves'!$F$11)/('2025 Regression Curves'!$E$11+'2025 Regression Curves'!$F$11)),($E$7*$E$8))</f>
        <v>0.10544441271348692</v>
      </c>
      <c r="K14" s="49">
        <f>IF(IF(C14&lt;='2025 Regression Curves'!$F$12,('2025 Regression Curves'!$D$12*C14)/('2025 Regression Curves'!$E$12+C14),('2025 Regression Curves'!$D$12*'2025 Regression Curves'!$F$12)/('2025 Regression Curves'!$E$12+'2025 Regression Curves'!$F$12))&lt;=($E$7*$E$8),IF(C14&lt;='2025 Regression Curves'!$F$12,('2025 Regression Curves'!$D$12*C14)/('2025 Regression Curves'!$E$12+C14),('2025 Regression Curves'!$D$12*'2025 Regression Curves'!$F$12)/('2025 Regression Curves'!$E$12+'2025 Regression Curves'!$F$12)),($E$7*$E$8))</f>
        <v>0.10257227506175343</v>
      </c>
      <c r="L14" s="49">
        <f>IF(IF(C14&lt;='2025 Regression Curves'!$F$13,('2025 Regression Curves'!$D$13*C14)/('2025 Regression Curves'!$E$13+C14),('2025 Regression Curves'!$D$13*'2025 Regression Curves'!$F$13)/('2025 Regression Curves'!$E$13+'2025 Regression Curves'!$F$13))&lt;=($E$7*$E$8),IF(C14&lt;='2025 Regression Curves'!$F$13,('2025 Regression Curves'!$D$13*C14)/('2025 Regression Curves'!$E$13+C14),('2025 Regression Curves'!$D$13*'2025 Regression Curves'!$F$13)/('2025 Regression Curves'!$E$13+'2025 Regression Curves'!$F$13)),($E$7*$E$8))</f>
        <v>7.2950983444308656E-2</v>
      </c>
      <c r="M14" s="49">
        <f>IF(IF(C14&lt;='2025 Regression Curves'!$F$14,('2025 Regression Curves'!$D$14*C14)/('2025 Regression Curves'!$E$14+C14),('2025 Regression Curves'!$D$14*'2025 Regression Curves'!$F$14)/('2025 Regression Curves'!$E$14+'2025 Regression Curves'!$F$14))&lt;=($E$7*$E$8),IF(C14&lt;='2025 Regression Curves'!$F$14,('2025 Regression Curves'!$D$14*C14)/('2025 Regression Curves'!$E$14+C14),('2025 Regression Curves'!$D$14*'2025 Regression Curves'!$F$14)/('2025 Regression Curves'!$E$14+'2025 Regression Curves'!$F$14)),($E$7*$E$8))</f>
        <v>3.6156258910749924E-2</v>
      </c>
      <c r="N14" s="49">
        <f>IF(IF(C14&lt;='2025 Regression Curves'!$F$15,('2025 Regression Curves'!$D$15*C14)/('2025 Regression Curves'!$E$15+C14),('2025 Regression Curves'!$D$15*'2025 Regression Curves'!$F$15)/('2025 Regression Curves'!$E$15+'2025 Regression Curves'!$F$15))&lt;=($E$7*$E$8),IF(C14&lt;='2025 Regression Curves'!$F$15,('2025 Regression Curves'!$D$15*C14)/('2025 Regression Curves'!$E$15+C14),('2025 Regression Curves'!$D$15*'2025 Regression Curves'!$F$15)/('2025 Regression Curves'!$E$15+'2025 Regression Curves'!$F$15)),($E$7*$E$8))</f>
        <v>9.7739101097952433E-2</v>
      </c>
    </row>
    <row r="15" spans="2:14" s="3" customFormat="1" ht="17.45" customHeight="1" x14ac:dyDescent="0.25">
      <c r="B15" s="192"/>
      <c r="C15" s="50">
        <v>400</v>
      </c>
      <c r="D15" s="51">
        <f>IF(IF(C15&lt;='2025 Regression Curves'!$F$5,('2025 Regression Curves'!$D$5*C15)/('2025 Regression Curves'!$E$5+C15),('2025 Regression Curves'!$D$5*'2025 Regression Curves'!$F$5)/('2025 Regression Curves'!$E$5+'2025 Regression Curves'!$F$5))&lt;=($E$7*$E$8),IF(C15&lt;='2025 Regression Curves'!$F$5,('2025 Regression Curves'!$D$5*C15)/('2025 Regression Curves'!$E$5+C15),('2025 Regression Curves'!$D$5*'2025 Regression Curves'!$F$5)/('2025 Regression Curves'!$E$5+'2025 Regression Curves'!$F$5)),($E$7*$E$8))</f>
        <v>9.0294847405566647E-2</v>
      </c>
      <c r="E15" s="51">
        <f>IF(IF(C15&lt;='2025 Regression Curves'!$F$6,('2025 Regression Curves'!$D$6*C15)/('2025 Regression Curves'!$E$6+C15),('2025 Regression Curves'!$D$6*'2025 Regression Curves'!$F$6)/('2025 Regression Curves'!$E$6+'2025 Regression Curves'!$F$6))&lt;=($E$7*$E$8),IF(C15&lt;='2025 Regression Curves'!$F$6,('2025 Regression Curves'!$D$6*C15)/('2025 Regression Curves'!$E$6+C15),('2025 Regression Curves'!$D$6*'2025 Regression Curves'!$F$6)/('2025 Regression Curves'!$E$6+'2025 Regression Curves'!$F$6)),($E$7*$E$8))</f>
        <v>0.13236831596092666</v>
      </c>
      <c r="F15" s="51">
        <f>IF(IF(C15&lt;='2025 Regression Curves'!$F$7,('2025 Regression Curves'!$D$7*C15)/('2025 Regression Curves'!$E$7+C15),('2025 Regression Curves'!$D$7*'2025 Regression Curves'!$F$7)/('2025 Regression Curves'!$E$7+'2025 Regression Curves'!$F$7))&lt;=($E$7*$E$8),IF(C15&lt;='2025 Regression Curves'!$F$7,('2025 Regression Curves'!$D$7*C15)/('2025 Regression Curves'!$E$7+C15),('2025 Regression Curves'!$D$7*'2025 Regression Curves'!$F$7)/('2025 Regression Curves'!$E$7+'2025 Regression Curves'!$F$7)),($E$7*$E$8))</f>
        <v>5.0879542682698703E-2</v>
      </c>
      <c r="G15" s="51">
        <f>IF(IF(C15&lt;='2025 Regression Curves'!$F$8,('2025 Regression Curves'!$D$8*C15)/('2025 Regression Curves'!$E$8+C15),('2025 Regression Curves'!$D$8*'2025 Regression Curves'!$F$8)/('2025 Regression Curves'!$E$8+'2025 Regression Curves'!$F$8))&lt;=($E$7*$E$8),IF(C15&lt;='2025 Regression Curves'!$F$8,('2025 Regression Curves'!$D$8*C15)/('2025 Regression Curves'!$E$8+C15),('2025 Regression Curves'!$D$8*'2025 Regression Curves'!$F$8)/('2025 Regression Curves'!$E$8+'2025 Regression Curves'!$F$8)),($E$7*$E$8))</f>
        <v>0.11583189825818482</v>
      </c>
      <c r="H15" s="51">
        <f>IF(IF(C15&lt;='2025 Regression Curves'!$F$9,('2025 Regression Curves'!$D$9*C15)/('2025 Regression Curves'!$E$9+C15),('2025 Regression Curves'!$D$9*'2025 Regression Curves'!$F$9)/('2025 Regression Curves'!$E$9+'2025 Regression Curves'!$F$9))&lt;=($E$7*$E$8),IF(C15&lt;='2025 Regression Curves'!$F$9,('2025 Regression Curves'!$D$9*C15)/('2025 Regression Curves'!$E$9+C15),('2025 Regression Curves'!$D$9*'2025 Regression Curves'!$F$9)/('2025 Regression Curves'!$E$9+'2025 Regression Curves'!$F$9)),($E$7*$E$8))</f>
        <v>3.0641498369270253E-2</v>
      </c>
      <c r="I15" s="51">
        <f>IF(IF(C15&lt;='2025 Regression Curves'!$F$10,('2025 Regression Curves'!$D$10*C15)/('2025 Regression Curves'!$E$10+C15),('2025 Regression Curves'!$D$10*'2025 Regression Curves'!$F$10)/('2025 Regression Curves'!$E$10+'2025 Regression Curves'!$F$10))&lt;=($E$7*$E$8),IF(C15&lt;='2025 Regression Curves'!$F$10,('2025 Regression Curves'!$D$10*C15)/('2025 Regression Curves'!$E$10+C15),('2025 Regression Curves'!$D$10*'2025 Regression Curves'!$F$10)/('2025 Regression Curves'!$E$10+'2025 Regression Curves'!$F$10)),($E$7*$E$8))</f>
        <v>0.116016158935728</v>
      </c>
      <c r="J15" s="51">
        <f>IF(IF(C15&lt;='2025 Regression Curves'!$F$11,('2025 Regression Curves'!$D$11*C15)/('2025 Regression Curves'!$E$11+C15),('2025 Regression Curves'!$D$11*'2025 Regression Curves'!$F$11)/('2025 Regression Curves'!$E$11+'2025 Regression Curves'!$F$11))&lt;=($E$7*$E$8),IF(C15&lt;='2025 Regression Curves'!$F$11,('2025 Regression Curves'!$D$11*C15)/('2025 Regression Curves'!$E$11+C15),('2025 Regression Curves'!$D$11*'2025 Regression Curves'!$F$11)/('2025 Regression Curves'!$E$11+'2025 Regression Curves'!$F$11)),($E$7*$E$8))</f>
        <v>0.1202692759702854</v>
      </c>
      <c r="K15" s="51">
        <f>IF(IF(C15&lt;='2025 Regression Curves'!$F$12,('2025 Regression Curves'!$D$12*C15)/('2025 Regression Curves'!$E$12+C15),('2025 Regression Curves'!$D$12*'2025 Regression Curves'!$F$12)/('2025 Regression Curves'!$E$12+'2025 Regression Curves'!$F$12))&lt;=($E$7*$E$8),IF(C15&lt;='2025 Regression Curves'!$F$12,('2025 Regression Curves'!$D$12*C15)/('2025 Regression Curves'!$E$12+C15),('2025 Regression Curves'!$D$12*'2025 Regression Curves'!$F$12)/('2025 Regression Curves'!$E$12+'2025 Regression Curves'!$F$12)),($E$7*$E$8))</f>
        <v>0.11945662421147871</v>
      </c>
      <c r="L15" s="51">
        <f>IF(IF(C15&lt;='2025 Regression Curves'!$F$13,('2025 Regression Curves'!$D$13*C15)/('2025 Regression Curves'!$E$13+C15),('2025 Regression Curves'!$D$13*'2025 Regression Curves'!$F$13)/('2025 Regression Curves'!$E$13+'2025 Regression Curves'!$F$13))&lt;=($E$7*$E$8),IF(C15&lt;='2025 Regression Curves'!$F$13,('2025 Regression Curves'!$D$13*C15)/('2025 Regression Curves'!$E$13+C15),('2025 Regression Curves'!$D$13*'2025 Regression Curves'!$F$13)/('2025 Regression Curves'!$E$13+'2025 Regression Curves'!$F$13)),($E$7*$E$8))</f>
        <v>8.4223062366641219E-2</v>
      </c>
      <c r="M15" s="51">
        <f>IF(IF(C15&lt;='2025 Regression Curves'!$F$14,('2025 Regression Curves'!$D$14*C15)/('2025 Regression Curves'!$E$14+C15),('2025 Regression Curves'!$D$14*'2025 Regression Curves'!$F$14)/('2025 Regression Curves'!$E$14+'2025 Regression Curves'!$F$14))&lt;=($E$7*$E$8),IF(C15&lt;='2025 Regression Curves'!$F$14,('2025 Regression Curves'!$D$14*C15)/('2025 Regression Curves'!$E$14+C15),('2025 Regression Curves'!$D$14*'2025 Regression Curves'!$F$14)/('2025 Regression Curves'!$E$14+'2025 Regression Curves'!$F$14)),($E$7*$E$8))</f>
        <v>4.6442633458474498E-2</v>
      </c>
      <c r="N15" s="51">
        <f>IF(IF(C15&lt;='2025 Regression Curves'!$F$15,('2025 Regression Curves'!$D$15*C15)/('2025 Regression Curves'!$E$15+C15),('2025 Regression Curves'!$D$15*'2025 Regression Curves'!$F$15)/('2025 Regression Curves'!$E$15+'2025 Regression Curves'!$F$15))&lt;=($E$7*$E$8),IF(C15&lt;='2025 Regression Curves'!$F$15,('2025 Regression Curves'!$D$15*C15)/('2025 Regression Curves'!$E$15+C15),('2025 Regression Curves'!$D$15*'2025 Regression Curves'!$F$15)/('2025 Regression Curves'!$E$15+'2025 Regression Curves'!$F$15)),($E$7*$E$8))</f>
        <v>0.11182523475494237</v>
      </c>
    </row>
    <row r="16" spans="2:14" s="3" customFormat="1" ht="17.45" customHeight="1" x14ac:dyDescent="0.25">
      <c r="B16" s="192"/>
      <c r="C16" s="48">
        <v>500</v>
      </c>
      <c r="D16" s="49">
        <f>IF(IF(C16&lt;='2025 Regression Curves'!$F$5,('2025 Regression Curves'!$D$5*C16)/('2025 Regression Curves'!$E$5+C16),('2025 Regression Curves'!$D$5*'2025 Regression Curves'!$F$5)/('2025 Regression Curves'!$E$5+'2025 Regression Curves'!$F$5))&lt;=($E$7*$E$8),IF(C16&lt;='2025 Regression Curves'!$F$5,('2025 Regression Curves'!$D$5*C16)/('2025 Regression Curves'!$E$5+C16),('2025 Regression Curves'!$D$5*'2025 Regression Curves'!$F$5)/('2025 Regression Curves'!$E$5+'2025 Regression Curves'!$F$5)),($E$7*$E$8))</f>
        <v>0.10293822650632937</v>
      </c>
      <c r="E16" s="49">
        <f>IF(IF(C16&lt;='2025 Regression Curves'!$F$6,('2025 Regression Curves'!$D$6*C16)/('2025 Regression Curves'!$E$6+C16),('2025 Regression Curves'!$D$6*'2025 Regression Curves'!$F$6)/('2025 Regression Curves'!$E$6+'2025 Regression Curves'!$F$6))&lt;=($E$7*$E$8),IF(C16&lt;='2025 Regression Curves'!$F$6,('2025 Regression Curves'!$D$6*C16)/('2025 Regression Curves'!$E$6+C16),('2025 Regression Curves'!$D$6*'2025 Regression Curves'!$F$6)/('2025 Regression Curves'!$E$6+'2025 Regression Curves'!$F$6)),($E$7*$E$8))</f>
        <v>0.14877170049583843</v>
      </c>
      <c r="F16" s="49">
        <f>IF(IF(C16&lt;='2025 Regression Curves'!$F$7,('2025 Regression Curves'!$D$7*C16)/('2025 Regression Curves'!$E$7+C16),('2025 Regression Curves'!$D$7*'2025 Regression Curves'!$F$7)/('2025 Regression Curves'!$E$7+'2025 Regression Curves'!$F$7))&lt;=($E$7*$E$8),IF(C16&lt;='2025 Regression Curves'!$F$7,('2025 Regression Curves'!$D$7*C16)/('2025 Regression Curves'!$E$7+C16),('2025 Regression Curves'!$D$7*'2025 Regression Curves'!$F$7)/('2025 Regression Curves'!$E$7+'2025 Regression Curves'!$F$7)),($E$7*$E$8))</f>
        <v>6.0372809709977139E-2</v>
      </c>
      <c r="G16" s="49">
        <f>IF(IF(C16&lt;='2025 Regression Curves'!$F$8,('2025 Regression Curves'!$D$8*C16)/('2025 Regression Curves'!$E$8+C16),('2025 Regression Curves'!$D$8*'2025 Regression Curves'!$F$8)/('2025 Regression Curves'!$E$8+'2025 Regression Curves'!$F$8))&lt;=($E$7*$E$8),IF(C16&lt;='2025 Regression Curves'!$F$8,('2025 Regression Curves'!$D$8*C16)/('2025 Regression Curves'!$E$8+C16),('2025 Regression Curves'!$D$8*'2025 Regression Curves'!$F$8)/('2025 Regression Curves'!$E$8+'2025 Regression Curves'!$F$8)),($E$7*$E$8))</f>
        <v>0.1270205159610176</v>
      </c>
      <c r="H16" s="49">
        <f>IF(IF(C16&lt;='2025 Regression Curves'!$F$9,('2025 Regression Curves'!$D$9*C16)/('2025 Regression Curves'!$E$9+C16),('2025 Regression Curves'!$D$9*'2025 Regression Curves'!$F$9)/('2025 Regression Curves'!$E$9+'2025 Regression Curves'!$F$9))&lt;=($E$7*$E$8),IF(C16&lt;='2025 Regression Curves'!$F$9,('2025 Regression Curves'!$D$9*C16)/('2025 Regression Curves'!$E$9+C16),('2025 Regression Curves'!$D$9*'2025 Regression Curves'!$F$9)/('2025 Regression Curves'!$E$9+'2025 Regression Curves'!$F$9)),($E$7*$E$8))</f>
        <v>3.7922628135164164E-2</v>
      </c>
      <c r="I16" s="49">
        <f>IF(IF(C16&lt;='2025 Regression Curves'!$F$10,('2025 Regression Curves'!$D$10*C16)/('2025 Regression Curves'!$E$10+C16),('2025 Regression Curves'!$D$10*'2025 Regression Curves'!$F$10)/('2025 Regression Curves'!$E$10+'2025 Regression Curves'!$F$10))&lt;=($E$7*$E$8),IF(C16&lt;='2025 Regression Curves'!$F$10,('2025 Regression Curves'!$D$10*C16)/('2025 Regression Curves'!$E$10+C16),('2025 Regression Curves'!$D$10*'2025 Regression Curves'!$F$10)/('2025 Regression Curves'!$E$10+'2025 Regression Curves'!$F$10)),($E$7*$E$8))</f>
        <v>0.12499119537159677</v>
      </c>
      <c r="J16" s="49">
        <f>IF(IF(C16&lt;='2025 Regression Curves'!$F$11,('2025 Regression Curves'!$D$11*C16)/('2025 Regression Curves'!$E$11+C16),('2025 Regression Curves'!$D$11*'2025 Regression Curves'!$F$11)/('2025 Regression Curves'!$E$11+'2025 Regression Curves'!$F$11))&lt;=($E$7*$E$8),IF(C16&lt;='2025 Regression Curves'!$F$11,('2025 Regression Curves'!$D$11*C16)/('2025 Regression Curves'!$E$11+C16),('2025 Regression Curves'!$D$11*'2025 Regression Curves'!$F$11)/('2025 Regression Curves'!$E$11+'2025 Regression Curves'!$F$11)),($E$7*$E$8))</f>
        <v>0.13134945142659399</v>
      </c>
      <c r="K16" s="49">
        <f>IF(IF(C16&lt;='2025 Regression Curves'!$F$12,('2025 Regression Curves'!$D$12*C16)/('2025 Regression Curves'!$E$12+C16),('2025 Regression Curves'!$D$12*'2025 Regression Curves'!$F$12)/('2025 Regression Curves'!$E$12+'2025 Regression Curves'!$F$12))&lt;=($E$7*$E$8),IF(C16&lt;='2025 Regression Curves'!$F$12,('2025 Regression Curves'!$D$12*C16)/('2025 Regression Curves'!$E$12+C16),('2025 Regression Curves'!$D$12*'2025 Regression Curves'!$F$12)/('2025 Regression Curves'!$E$12+'2025 Regression Curves'!$F$12)),($E$7*$E$8))</f>
        <v>0.13254778179040602</v>
      </c>
      <c r="L16" s="49">
        <f>IF(IF(C16&lt;='2025 Regression Curves'!$F$13,('2025 Regression Curves'!$D$13*C16)/('2025 Regression Curves'!$E$13+C16),('2025 Regression Curves'!$D$13*'2025 Regression Curves'!$F$13)/('2025 Regression Curves'!$E$13+'2025 Regression Curves'!$F$13))&lt;=($E$7*$E$8),IF(C16&lt;='2025 Regression Curves'!$F$13,('2025 Regression Curves'!$D$13*C16)/('2025 Regression Curves'!$E$13+C16),('2025 Regression Curves'!$D$13*'2025 Regression Curves'!$F$13)/('2025 Regression Curves'!$E$13+'2025 Regression Curves'!$F$13)),($E$7*$E$8))</f>
        <v>9.2829209627275935E-2</v>
      </c>
      <c r="M16" s="49">
        <f>IF(IF(C16&lt;='2025 Regression Curves'!$F$14,('2025 Regression Curves'!$D$14*C16)/('2025 Regression Curves'!$E$14+C16),('2025 Regression Curves'!$D$14*'2025 Regression Curves'!$F$14)/('2025 Regression Curves'!$E$14+'2025 Regression Curves'!$F$14))&lt;=($E$7*$E$8),IF(C16&lt;='2025 Regression Curves'!$F$14,('2025 Regression Curves'!$D$14*C16)/('2025 Regression Curves'!$E$14+C16),('2025 Regression Curves'!$D$14*'2025 Regression Curves'!$F$14)/('2025 Regression Curves'!$E$14+'2025 Regression Curves'!$F$14)),($E$7*$E$8))</f>
        <v>5.6002119954067661E-2</v>
      </c>
      <c r="N16" s="49">
        <f>IF(IF(C16&lt;='2025 Regression Curves'!$F$15,('2025 Regression Curves'!$D$15*C16)/('2025 Regression Curves'!$E$15+C16),('2025 Regression Curves'!$D$15*'2025 Regression Curves'!$F$15)/('2025 Regression Curves'!$E$15+'2025 Regression Curves'!$F$15))&lt;=($E$7*$E$8),IF(C16&lt;='2025 Regression Curves'!$F$15,('2025 Regression Curves'!$D$15*C16)/('2025 Regression Curves'!$E$15+C16),('2025 Regression Curves'!$D$15*'2025 Regression Curves'!$F$15)/('2025 Regression Curves'!$E$15+'2025 Regression Curves'!$F$15)),($E$7*$E$8))</f>
        <v>0.1224102769951943</v>
      </c>
    </row>
    <row r="17" spans="2:14" s="3" customFormat="1" ht="17.45" customHeight="1" x14ac:dyDescent="0.25">
      <c r="B17" s="192"/>
      <c r="C17" s="50">
        <v>600</v>
      </c>
      <c r="D17" s="51">
        <f>IF(IF(C17&lt;='2025 Regression Curves'!$F$5,('2025 Regression Curves'!$D$5*C17)/('2025 Regression Curves'!$E$5+C17),('2025 Regression Curves'!$D$5*'2025 Regression Curves'!$F$5)/('2025 Regression Curves'!$E$5+'2025 Regression Curves'!$F$5))&lt;=($E$7*$E$8),IF(C17&lt;='2025 Regression Curves'!$F$5,('2025 Regression Curves'!$D$5*C17)/('2025 Regression Curves'!$E$5+C17),('2025 Regression Curves'!$D$5*'2025 Regression Curves'!$F$5)/('2025 Regression Curves'!$E$5+'2025 Regression Curves'!$F$5)),($E$7*$E$8))</f>
        <v>0.11353675064935906</v>
      </c>
      <c r="E17" s="51">
        <f>IF(IF(C17&lt;='2025 Regression Curves'!$F$6,('2025 Regression Curves'!$D$6*C17)/('2025 Regression Curves'!$E$6+C17),('2025 Regression Curves'!$D$6*'2025 Regression Curves'!$F$6)/('2025 Regression Curves'!$E$6+'2025 Regression Curves'!$F$6))&lt;=($E$7*$E$8),IF(C17&lt;='2025 Regression Curves'!$F$6,('2025 Regression Curves'!$D$6*C17)/('2025 Regression Curves'!$E$6+C17),('2025 Regression Curves'!$D$6*'2025 Regression Curves'!$F$6)/('2025 Regression Curves'!$E$6+'2025 Regression Curves'!$F$6)),($E$7*$E$8))</f>
        <v>0.16216929374814468</v>
      </c>
      <c r="F17" s="51">
        <f>IF(IF(C17&lt;='2025 Regression Curves'!$F$7,('2025 Regression Curves'!$D$7*C17)/('2025 Regression Curves'!$E$7+C17),('2025 Regression Curves'!$D$7*'2025 Regression Curves'!$F$7)/('2025 Regression Curves'!$E$7+'2025 Regression Curves'!$F$7))&lt;=($E$7*$E$8),IF(C17&lt;='2025 Regression Curves'!$F$7,('2025 Regression Curves'!$D$7*C17)/('2025 Regression Curves'!$E$7+C17),('2025 Regression Curves'!$D$7*'2025 Regression Curves'!$F$7)/('2025 Regression Curves'!$E$7+'2025 Regression Curves'!$F$7)),($E$7*$E$8))</f>
        <v>6.8949333827759918E-2</v>
      </c>
      <c r="G17" s="51">
        <f>IF(IF(C17&lt;='2025 Regression Curves'!$F$8,('2025 Regression Curves'!$D$8*C17)/('2025 Regression Curves'!$E$8+C17),('2025 Regression Curves'!$D$8*'2025 Regression Curves'!$F$8)/('2025 Regression Curves'!$E$8+'2025 Regression Curves'!$F$8))&lt;=($E$7*$E$8),IF(C17&lt;='2025 Regression Curves'!$F$8,('2025 Regression Curves'!$D$8*C17)/('2025 Regression Curves'!$E$8+C17),('2025 Regression Curves'!$D$8*'2025 Regression Curves'!$F$8)/('2025 Regression Curves'!$E$8+'2025 Regression Curves'!$F$8)),($E$7*$E$8))</f>
        <v>0.13576307703406865</v>
      </c>
      <c r="H17" s="51">
        <f>IF(IF(C17&lt;='2025 Regression Curves'!$F$9,('2025 Regression Curves'!$D$9*C17)/('2025 Regression Curves'!$E$9+C17),('2025 Regression Curves'!$D$9*'2025 Regression Curves'!$F$9)/('2025 Regression Curves'!$E$9+'2025 Regression Curves'!$F$9))&lt;=($E$7*$E$8),IF(C17&lt;='2025 Regression Curves'!$F$9,('2025 Regression Curves'!$D$9*C17)/('2025 Regression Curves'!$E$9+C17),('2025 Regression Curves'!$D$9*'2025 Regression Curves'!$F$9)/('2025 Regression Curves'!$E$9+'2025 Regression Curves'!$F$9)),($E$7*$E$8))</f>
        <v>4.5060983805988344E-2</v>
      </c>
      <c r="I17" s="51">
        <f>IF(IF(C17&lt;='2025 Regression Curves'!$F$10,('2025 Regression Curves'!$D$10*C17)/('2025 Regression Curves'!$E$10+C17),('2025 Regression Curves'!$D$10*'2025 Regression Curves'!$F$10)/('2025 Regression Curves'!$E$10+'2025 Regression Curves'!$F$10))&lt;=($E$7*$E$8),IF(C17&lt;='2025 Regression Curves'!$F$10,('2025 Regression Curves'!$D$10*C17)/('2025 Regression Curves'!$E$10+C17),('2025 Regression Curves'!$D$10*'2025 Regression Curves'!$F$10)/('2025 Regression Curves'!$E$10+'2025 Regression Curves'!$F$10)),($E$7*$E$8))</f>
        <v>0.13178795972579369</v>
      </c>
      <c r="J17" s="51">
        <f>IF(IF(C17&lt;='2025 Regression Curves'!$F$11,('2025 Regression Curves'!$D$11*C17)/('2025 Regression Curves'!$E$11+C17),('2025 Regression Curves'!$D$11*'2025 Regression Curves'!$F$11)/('2025 Regression Curves'!$E$11+'2025 Regression Curves'!$F$11))&lt;=($E$7*$E$8),IF(C17&lt;='2025 Regression Curves'!$F$11,('2025 Regression Curves'!$D$11*C17)/('2025 Regression Curves'!$E$11+C17),('2025 Regression Curves'!$D$11*'2025 Regression Curves'!$F$11)/('2025 Regression Curves'!$E$11+'2025 Regression Curves'!$F$11)),($E$7*$E$8))</f>
        <v>0.13994467251488876</v>
      </c>
      <c r="K17" s="51">
        <f>IF(IF(C17&lt;='2025 Regression Curves'!$F$12,('2025 Regression Curves'!$D$12*C17)/('2025 Regression Curves'!$E$12+C17),('2025 Regression Curves'!$D$12*'2025 Regression Curves'!$F$12)/('2025 Regression Curves'!$E$12+'2025 Regression Curves'!$F$12))&lt;=($E$7*$E$8),IF(C17&lt;='2025 Regression Curves'!$F$12,('2025 Regression Curves'!$D$12*C17)/('2025 Regression Curves'!$E$12+C17),('2025 Regression Curves'!$D$12*'2025 Regression Curves'!$F$12)/('2025 Regression Curves'!$E$12+'2025 Regression Curves'!$F$12)),($E$7*$E$8))</f>
        <v>0.14299491539972431</v>
      </c>
      <c r="L17" s="51">
        <f>IF(IF(C17&lt;='2025 Regression Curves'!$F$13,('2025 Regression Curves'!$D$13*C17)/('2025 Regression Curves'!$E$13+C17),('2025 Regression Curves'!$D$13*'2025 Regression Curves'!$F$13)/('2025 Regression Curves'!$E$13+'2025 Regression Curves'!$F$13))&lt;=($E$7*$E$8),IF(C17&lt;='2025 Regression Curves'!$F$13,('2025 Regression Curves'!$D$13*C17)/('2025 Regression Curves'!$E$13+C17),('2025 Regression Curves'!$D$13*'2025 Regression Curves'!$F$13)/('2025 Regression Curves'!$E$13+'2025 Regression Curves'!$F$13)),($E$7*$E$8))</f>
        <v>9.9615180845967655E-2</v>
      </c>
      <c r="M17" s="51">
        <f>IF(IF(C17&lt;='2025 Regression Curves'!$F$14,('2025 Regression Curves'!$D$14*C17)/('2025 Regression Curves'!$E$14+C17),('2025 Regression Curves'!$D$14*'2025 Regression Curves'!$F$14)/('2025 Regression Curves'!$E$14+'2025 Regression Curves'!$F$14))&lt;=($E$7*$E$8),IF(C17&lt;='2025 Regression Curves'!$F$14,('2025 Regression Curves'!$D$14*C17)/('2025 Regression Curves'!$E$14+C17),('2025 Regression Curves'!$D$14*'2025 Regression Curves'!$F$14)/('2025 Regression Curves'!$E$14+'2025 Regression Curves'!$F$14)),($E$7*$E$8))</f>
        <v>6.4909137445610443E-2</v>
      </c>
      <c r="N17" s="51">
        <f>IF(IF(C17&lt;='2025 Regression Curves'!$F$15,('2025 Regression Curves'!$D$15*C17)/('2025 Regression Curves'!$E$15+C17),('2025 Regression Curves'!$D$15*'2025 Regression Curves'!$F$15)/('2025 Regression Curves'!$E$15+'2025 Regression Curves'!$F$15))&lt;=($E$7*$E$8),IF(C17&lt;='2025 Regression Curves'!$F$15,('2025 Regression Curves'!$D$15*C17)/('2025 Regression Curves'!$E$15+C17),('2025 Regression Curves'!$D$15*'2025 Regression Curves'!$F$15)/('2025 Regression Curves'!$E$15+'2025 Regression Curves'!$F$15)),($E$7*$E$8))</f>
        <v>0.13065523267574622</v>
      </c>
    </row>
    <row r="18" spans="2:14" s="3" customFormat="1" ht="17.45" customHeight="1" x14ac:dyDescent="0.25">
      <c r="B18" s="192"/>
      <c r="C18" s="48">
        <v>700</v>
      </c>
      <c r="D18" s="49">
        <f>IF(IF(C18&lt;='2025 Regression Curves'!$F$5,('2025 Regression Curves'!$D$5*C18)/('2025 Regression Curves'!$E$5+C18),('2025 Regression Curves'!$D$5*'2025 Regression Curves'!$F$5)/('2025 Regression Curves'!$E$5+'2025 Regression Curves'!$F$5))&lt;=($E$7*$E$8),IF(C18&lt;='2025 Regression Curves'!$F$5,('2025 Regression Curves'!$D$5*C18)/('2025 Regression Curves'!$E$5+C18),('2025 Regression Curves'!$D$5*'2025 Regression Curves'!$F$5)/('2025 Regression Curves'!$E$5+'2025 Regression Curves'!$F$5)),($E$7*$E$8))</f>
        <v>0.12254938635527053</v>
      </c>
      <c r="E18" s="49">
        <f>IF(IF(C18&lt;='2025 Regression Curves'!$F$6,('2025 Regression Curves'!$D$6*C18)/('2025 Regression Curves'!$E$6+C18),('2025 Regression Curves'!$D$6*'2025 Regression Curves'!$F$6)/('2025 Regression Curves'!$E$6+'2025 Regression Curves'!$F$6))&lt;=($E$7*$E$8),IF(C18&lt;='2025 Regression Curves'!$F$6,('2025 Regression Curves'!$D$6*C18)/('2025 Regression Curves'!$E$6+C18),('2025 Regression Curves'!$D$6*'2025 Regression Curves'!$F$6)/('2025 Regression Curves'!$E$6+'2025 Regression Curves'!$F$6)),($E$7*$E$8))</f>
        <v>0.17331793475523982</v>
      </c>
      <c r="F18" s="49">
        <f>IF(IF(C18&lt;='2025 Regression Curves'!$F$7,('2025 Regression Curves'!$D$7*C18)/('2025 Regression Curves'!$E$7+C18),('2025 Regression Curves'!$D$7*'2025 Regression Curves'!$F$7)/('2025 Regression Curves'!$E$7+'2025 Regression Curves'!$F$7))&lt;=($E$7*$E$8),IF(C18&lt;='2025 Regression Curves'!$F$7,('2025 Regression Curves'!$D$7*C18)/('2025 Regression Curves'!$E$7+C18),('2025 Regression Curves'!$D$7*'2025 Regression Curves'!$F$7)/('2025 Regression Curves'!$E$7+'2025 Regression Curves'!$F$7)),($E$7*$E$8))</f>
        <v>7.6735790291126177E-2</v>
      </c>
      <c r="G18" s="49">
        <f>IF(IF(C18&lt;='2025 Regression Curves'!$F$8,('2025 Regression Curves'!$D$8*C18)/('2025 Regression Curves'!$E$8+C18),('2025 Regression Curves'!$D$8*'2025 Regression Curves'!$F$8)/('2025 Regression Curves'!$E$8+'2025 Regression Curves'!$F$8))&lt;=($E$7*$E$8),IF(C18&lt;='2025 Regression Curves'!$F$8,('2025 Regression Curves'!$D$8*C18)/('2025 Regression Curves'!$E$8+C18),('2025 Regression Curves'!$D$8*'2025 Regression Curves'!$F$8)/('2025 Regression Curves'!$E$8+'2025 Regression Curves'!$F$8)),($E$7*$E$8))</f>
        <v>0.14278267570201483</v>
      </c>
      <c r="H18" s="49">
        <f>IF(IF(C18&lt;='2025 Regression Curves'!$F$9,('2025 Regression Curves'!$D$9*C18)/('2025 Regression Curves'!$E$9+C18),('2025 Regression Curves'!$D$9*'2025 Regression Curves'!$F$9)/('2025 Regression Curves'!$E$9+'2025 Regression Curves'!$F$9))&lt;=($E$7*$E$8),IF(C18&lt;='2025 Regression Curves'!$F$9,('2025 Regression Curves'!$D$9*C18)/('2025 Regression Curves'!$E$9+C18),('2025 Regression Curves'!$D$9*'2025 Regression Curves'!$F$9)/('2025 Regression Curves'!$E$9+'2025 Regression Curves'!$F$9)),($E$7*$E$8))</f>
        <v>5.2060724047966939E-2</v>
      </c>
      <c r="I18" s="49">
        <f>IF(IF(C18&lt;='2025 Regression Curves'!$F$10,('2025 Regression Curves'!$D$10*C18)/('2025 Regression Curves'!$E$10+C18),('2025 Regression Curves'!$D$10*'2025 Regression Curves'!$F$10)/('2025 Regression Curves'!$E$10+'2025 Regression Curves'!$F$10))&lt;=($E$7*$E$8),IF(C18&lt;='2025 Regression Curves'!$F$10,('2025 Regression Curves'!$D$10*C18)/('2025 Regression Curves'!$E$10+C18),('2025 Regression Curves'!$D$10*'2025 Regression Curves'!$F$10)/('2025 Regression Curves'!$E$10+'2025 Regression Curves'!$F$10)),($E$7*$E$8))</f>
        <v>0.13711364416033314</v>
      </c>
      <c r="J18" s="49">
        <f>IF(IF(C18&lt;='2025 Regression Curves'!$F$11,('2025 Regression Curves'!$D$11*C18)/('2025 Regression Curves'!$E$11+C18),('2025 Regression Curves'!$D$11*'2025 Regression Curves'!$F$11)/('2025 Regression Curves'!$E$11+'2025 Regression Curves'!$F$11))&lt;=($E$7*$E$8),IF(C18&lt;='2025 Regression Curves'!$F$11,('2025 Regression Curves'!$D$11*C18)/('2025 Regression Curves'!$E$11+C18),('2025 Regression Curves'!$D$11*'2025 Regression Curves'!$F$11)/('2025 Regression Curves'!$E$11+'2025 Regression Curves'!$F$11)),($E$7*$E$8))</f>
        <v>0.14680660347395241</v>
      </c>
      <c r="K18" s="49">
        <f>IF(IF(C18&lt;='2025 Regression Curves'!$F$12,('2025 Regression Curves'!$D$12*C18)/('2025 Regression Curves'!$E$12+C18),('2025 Regression Curves'!$D$12*'2025 Regression Curves'!$F$12)/('2025 Regression Curves'!$E$12+'2025 Regression Curves'!$F$12))&lt;=($E$7*$E$8),IF(C18&lt;='2025 Regression Curves'!$F$12,('2025 Regression Curves'!$D$12*C18)/('2025 Regression Curves'!$E$12+C18),('2025 Regression Curves'!$D$12*'2025 Regression Curves'!$F$12)/('2025 Regression Curves'!$E$12+'2025 Regression Curves'!$F$12)),($E$7*$E$8))</f>
        <v>0.15152557452682655</v>
      </c>
      <c r="L18" s="49">
        <f>IF(IF(C18&lt;='2025 Regression Curves'!$F$13,('2025 Regression Curves'!$D$13*C18)/('2025 Regression Curves'!$E$13+C18),('2025 Regression Curves'!$D$13*'2025 Regression Curves'!$F$13)/('2025 Regression Curves'!$E$13+'2025 Regression Curves'!$F$13))&lt;=($E$7*$E$8),IF(C18&lt;='2025 Regression Curves'!$F$13,('2025 Regression Curves'!$D$13*C18)/('2025 Regression Curves'!$E$13+C18),('2025 Regression Curves'!$D$13*'2025 Regression Curves'!$F$13)/('2025 Regression Curves'!$E$13+'2025 Regression Curves'!$F$13)),($E$7*$E$8))</f>
        <v>0.10510319527102566</v>
      </c>
      <c r="M18" s="49">
        <f>IF(IF(C18&lt;='2025 Regression Curves'!$F$14,('2025 Regression Curves'!$D$14*C18)/('2025 Regression Curves'!$E$14+C18),('2025 Regression Curves'!$D$14*'2025 Regression Curves'!$F$14)/('2025 Regression Curves'!$E$14+'2025 Regression Curves'!$F$14))&lt;=($E$7*$E$8),IF(C18&lt;='2025 Regression Curves'!$F$14,('2025 Regression Curves'!$D$14*C18)/('2025 Regression Curves'!$E$14+C18),('2025 Regression Curves'!$D$14*'2025 Regression Curves'!$F$14)/('2025 Regression Curves'!$E$14+'2025 Regression Curves'!$F$14)),($E$7*$E$8))</f>
        <v>7.3228281494926162E-2</v>
      </c>
      <c r="N18" s="49">
        <f>IF(IF(C18&lt;='2025 Regression Curves'!$F$15,('2025 Regression Curves'!$D$15*C18)/('2025 Regression Curves'!$E$15+C18),('2025 Regression Curves'!$D$15*'2025 Regression Curves'!$F$15)/('2025 Regression Curves'!$E$15+'2025 Regression Curves'!$F$15))&lt;=($E$7*$E$8),IF(C18&lt;='2025 Regression Curves'!$F$15,('2025 Regression Curves'!$D$15*C18)/('2025 Regression Curves'!$E$15+C18),('2025 Regression Curves'!$D$15*'2025 Regression Curves'!$F$15)/('2025 Regression Curves'!$E$15+'2025 Regression Curves'!$F$15)),($E$7*$E$8))</f>
        <v>0.13725886384697081</v>
      </c>
    </row>
    <row r="19" spans="2:14" s="3" customFormat="1" ht="17.45" customHeight="1" x14ac:dyDescent="0.25">
      <c r="B19" s="192"/>
      <c r="C19" s="50">
        <v>800</v>
      </c>
      <c r="D19" s="51">
        <f>IF(IF(C19&lt;='2025 Regression Curves'!$F$5,('2025 Regression Curves'!$D$5*C19)/('2025 Regression Curves'!$E$5+C19),('2025 Regression Curves'!$D$5*'2025 Regression Curves'!$F$5)/('2025 Regression Curves'!$E$5+'2025 Regression Curves'!$F$5))&lt;=($E$7*$E$8),IF(C19&lt;='2025 Regression Curves'!$F$5,('2025 Regression Curves'!$D$5*C19)/('2025 Regression Curves'!$E$5+C19),('2025 Regression Curves'!$D$5*'2025 Regression Curves'!$F$5)/('2025 Regression Curves'!$E$5+'2025 Regression Curves'!$F$5)),($E$7*$E$8))</f>
        <v>0.13030730806819416</v>
      </c>
      <c r="E19" s="51">
        <f>IF(IF(C19&lt;='2025 Regression Curves'!$F$6,('2025 Regression Curves'!$D$6*C19)/('2025 Regression Curves'!$E$6+C19),('2025 Regression Curves'!$D$6*'2025 Regression Curves'!$F$6)/('2025 Regression Curves'!$E$6+'2025 Regression Curves'!$F$6))&lt;=($E$7*$E$8),IF(C19&lt;='2025 Regression Curves'!$F$6,('2025 Regression Curves'!$D$6*C19)/('2025 Regression Curves'!$E$6+C19),('2025 Regression Curves'!$D$6*'2025 Regression Curves'!$F$6)/('2025 Regression Curves'!$E$6+'2025 Regression Curves'!$F$6)),($E$7*$E$8))</f>
        <v>0.18274004763630394</v>
      </c>
      <c r="F19" s="51">
        <f>IF(IF(C19&lt;='2025 Regression Curves'!$F$7,('2025 Regression Curves'!$D$7*C19)/('2025 Regression Curves'!$E$7+C19),('2025 Regression Curves'!$D$7*'2025 Regression Curves'!$F$7)/('2025 Regression Curves'!$E$7+'2025 Regression Curves'!$F$7))&lt;=($E$7*$E$8),IF(C19&lt;='2025 Regression Curves'!$F$7,('2025 Regression Curves'!$D$7*C19)/('2025 Regression Curves'!$E$7+C19),('2025 Regression Curves'!$D$7*'2025 Regression Curves'!$F$7)/('2025 Regression Curves'!$E$7+'2025 Regression Curves'!$F$7)),($E$7*$E$8))</f>
        <v>8.3836543398180405E-2</v>
      </c>
      <c r="G19" s="51">
        <f>IF(IF(C19&lt;='2025 Regression Curves'!$F$8,('2025 Regression Curves'!$D$8*C19)/('2025 Regression Curves'!$E$8+C19),('2025 Regression Curves'!$D$8*'2025 Regression Curves'!$F$8)/('2025 Regression Curves'!$E$8+'2025 Regression Curves'!$F$8))&lt;=($E$7*$E$8),IF(C19&lt;='2025 Regression Curves'!$F$8,('2025 Regression Curves'!$D$8*C19)/('2025 Regression Curves'!$E$8+C19),('2025 Regression Curves'!$D$8*'2025 Regression Curves'!$F$8)/('2025 Regression Curves'!$E$8+'2025 Regression Curves'!$F$8)),($E$7*$E$8))</f>
        <v>0.14854296040020487</v>
      </c>
      <c r="H19" s="51">
        <f>IF(IF(C19&lt;='2025 Regression Curves'!$F$9,('2025 Regression Curves'!$D$9*C19)/('2025 Regression Curves'!$E$9+C19),('2025 Regression Curves'!$D$9*'2025 Regression Curves'!$F$9)/('2025 Regression Curves'!$E$9+'2025 Regression Curves'!$F$9))&lt;=($E$7*$E$8),IF(C19&lt;='2025 Regression Curves'!$F$9,('2025 Regression Curves'!$D$9*C19)/('2025 Regression Curves'!$E$9+C19),('2025 Regression Curves'!$D$9*'2025 Regression Curves'!$F$9)/('2025 Regression Curves'!$E$9+'2025 Regression Curves'!$F$9)),($E$7*$E$8))</f>
        <v>5.8925847571102134E-2</v>
      </c>
      <c r="I19" s="51">
        <f>IF(IF(C19&lt;='2025 Regression Curves'!$F$10,('2025 Regression Curves'!$D$10*C19)/('2025 Regression Curves'!$E$10+C19),('2025 Regression Curves'!$D$10*'2025 Regression Curves'!$F$10)/('2025 Regression Curves'!$E$10+'2025 Regression Curves'!$F$10))&lt;=($E$7*$E$8),IF(C19&lt;='2025 Regression Curves'!$F$10,('2025 Regression Curves'!$D$10*C19)/('2025 Regression Curves'!$E$10+C19),('2025 Regression Curves'!$D$10*'2025 Regression Curves'!$F$10)/('2025 Regression Curves'!$E$10+'2025 Regression Curves'!$F$10)),($E$7*$E$8))</f>
        <v>0.1413992076566499</v>
      </c>
      <c r="J19" s="51">
        <f>IF(IF(C19&lt;='2025 Regression Curves'!$F$11,('2025 Regression Curves'!$D$11*C19)/('2025 Regression Curves'!$E$11+C19),('2025 Regression Curves'!$D$11*'2025 Regression Curves'!$F$11)/('2025 Regression Curves'!$E$11+'2025 Regression Curves'!$F$11))&lt;=($E$7*$E$8),IF(C19&lt;='2025 Regression Curves'!$F$11,('2025 Regression Curves'!$D$11*C19)/('2025 Regression Curves'!$E$11+C19),('2025 Regression Curves'!$D$11*'2025 Regression Curves'!$F$11)/('2025 Regression Curves'!$E$11+'2025 Regression Curves'!$F$11)),($E$7*$E$8))</f>
        <v>0.15241151842723039</v>
      </c>
      <c r="K19" s="51">
        <f>IF(IF(C19&lt;='2025 Regression Curves'!$F$12,('2025 Regression Curves'!$D$12*C19)/('2025 Regression Curves'!$E$12+C19),('2025 Regression Curves'!$D$12*'2025 Regression Curves'!$F$12)/('2025 Regression Curves'!$E$12+'2025 Regression Curves'!$F$12))&lt;=($E$7*$E$8),IF(C19&lt;='2025 Regression Curves'!$F$12,('2025 Regression Curves'!$D$12*C19)/('2025 Regression Curves'!$E$12+C19),('2025 Regression Curves'!$D$12*'2025 Regression Curves'!$F$12)/('2025 Regression Curves'!$E$12+'2025 Regression Curves'!$F$12)),($E$7*$E$8))</f>
        <v>0.15862280454864336</v>
      </c>
      <c r="L19" s="51">
        <f>IF(IF(C19&lt;='2025 Regression Curves'!$F$13,('2025 Regression Curves'!$D$13*C19)/('2025 Regression Curves'!$E$13+C19),('2025 Regression Curves'!$D$13*'2025 Regression Curves'!$F$13)/('2025 Regression Curves'!$E$13+'2025 Regression Curves'!$F$13))&lt;=($E$7*$E$8),IF(C19&lt;='2025 Regression Curves'!$F$13,('2025 Regression Curves'!$D$13*C19)/('2025 Regression Curves'!$E$13+C19),('2025 Regression Curves'!$D$13*'2025 Regression Curves'!$F$13)/('2025 Regression Curves'!$E$13+'2025 Regression Curves'!$F$13)),($E$7*$E$8))</f>
        <v>0.10963313923495968</v>
      </c>
      <c r="M19" s="51">
        <f>IF(IF(C19&lt;='2025 Regression Curves'!$F$14,('2025 Regression Curves'!$D$14*C19)/('2025 Regression Curves'!$E$14+C19),('2025 Regression Curves'!$D$14*'2025 Regression Curves'!$F$14)/('2025 Regression Curves'!$E$14+'2025 Regression Curves'!$F$14))&lt;=($E$7*$E$8),IF(C19&lt;='2025 Regression Curves'!$F$14,('2025 Regression Curves'!$D$14*C19)/('2025 Regression Curves'!$E$14+C19),('2025 Regression Curves'!$D$14*'2025 Regression Curves'!$F$14)/('2025 Regression Curves'!$E$14+'2025 Regression Curves'!$F$14)),($E$7*$E$8))</f>
        <v>8.1015893299257249E-2</v>
      </c>
      <c r="N19" s="51">
        <f>IF(IF(C19&lt;='2025 Regression Curves'!$F$15,('2025 Regression Curves'!$D$15*C19)/('2025 Regression Curves'!$E$15+C19),('2025 Regression Curves'!$D$15*'2025 Regression Curves'!$F$15)/('2025 Regression Curves'!$E$15+'2025 Regression Curves'!$F$15))&lt;=($E$7*$E$8),IF(C19&lt;='2025 Regression Curves'!$F$15,('2025 Regression Curves'!$D$15*C19)/('2025 Regression Curves'!$E$15+C19),('2025 Regression Curves'!$D$15*'2025 Regression Curves'!$F$15)/('2025 Regression Curves'!$E$15+'2025 Regression Curves'!$F$15)),($E$7*$E$8))</f>
        <v>0.14266691168682802</v>
      </c>
    </row>
    <row r="20" spans="2:14" s="3" customFormat="1" ht="17.45" customHeight="1" x14ac:dyDescent="0.25">
      <c r="B20" s="192"/>
      <c r="C20" s="48">
        <v>900</v>
      </c>
      <c r="D20" s="49">
        <f>IF(IF(C20&lt;='2025 Regression Curves'!$F$5,('2025 Regression Curves'!$D$5*C20)/('2025 Regression Curves'!$E$5+C20),('2025 Regression Curves'!$D$5*'2025 Regression Curves'!$F$5)/('2025 Regression Curves'!$E$5+'2025 Regression Curves'!$F$5))&lt;=($E$7*$E$8),IF(C20&lt;='2025 Regression Curves'!$F$5,('2025 Regression Curves'!$D$5*C20)/('2025 Regression Curves'!$E$5+C20),('2025 Regression Curves'!$D$5*'2025 Regression Curves'!$F$5)/('2025 Regression Curves'!$E$5+'2025 Regression Curves'!$F$5)),($E$7*$E$8))</f>
        <v>0.13705548078750285</v>
      </c>
      <c r="E20" s="49">
        <f>IF(IF(C20&lt;='2025 Regression Curves'!$F$6,('2025 Regression Curves'!$D$6*C20)/('2025 Regression Curves'!$E$6+C20),('2025 Regression Curves'!$D$6*'2025 Regression Curves'!$F$6)/('2025 Regression Curves'!$E$6+'2025 Regression Curves'!$F$6))&lt;=($E$7*$E$8),IF(C20&lt;='2025 Regression Curves'!$F$6,('2025 Regression Curves'!$D$6*C20)/('2025 Regression Curves'!$E$6+C20),('2025 Regression Curves'!$D$6*'2025 Regression Curves'!$F$6)/('2025 Regression Curves'!$E$6+'2025 Regression Curves'!$F$6)),($E$7*$E$8))</f>
        <v>0.19080787551421105</v>
      </c>
      <c r="F20" s="49">
        <f>IF(IF(C20&lt;='2025 Regression Curves'!$F$7,('2025 Regression Curves'!$D$7*C20)/('2025 Regression Curves'!$E$7+C20),('2025 Regression Curves'!$D$7*'2025 Regression Curves'!$F$7)/('2025 Regression Curves'!$E$7+'2025 Regression Curves'!$F$7))&lt;=($E$7*$E$8),IF(C20&lt;='2025 Regression Curves'!$F$7,('2025 Regression Curves'!$D$7*C20)/('2025 Regression Curves'!$E$7+C20),('2025 Regression Curves'!$D$7*'2025 Regression Curves'!$F$7)/('2025 Regression Curves'!$E$7+'2025 Regression Curves'!$F$7)),($E$7*$E$8))</f>
        <v>9.0338351287131705E-2</v>
      </c>
      <c r="G20" s="49">
        <f>IF(IF(C20&lt;='2025 Regression Curves'!$F$8,('2025 Regression Curves'!$D$8*C20)/('2025 Regression Curves'!$E$8+C20),('2025 Regression Curves'!$D$8*'2025 Regression Curves'!$F$8)/('2025 Regression Curves'!$E$8+'2025 Regression Curves'!$F$8))&lt;=($E$7*$E$8),IF(C20&lt;='2025 Regression Curves'!$F$8,('2025 Regression Curves'!$D$8*C20)/('2025 Regression Curves'!$E$8+C20),('2025 Regression Curves'!$D$8*'2025 Regression Curves'!$F$8)/('2025 Regression Curves'!$E$8+'2025 Regression Curves'!$F$8)),($E$7*$E$8))</f>
        <v>0.15335491661789435</v>
      </c>
      <c r="H20" s="49">
        <f>IF(IF(C20&lt;='2025 Regression Curves'!$F$9,('2025 Regression Curves'!$D$9*C20)/('2025 Regression Curves'!$E$9+C20),('2025 Regression Curves'!$D$9*'2025 Regression Curves'!$F$9)/('2025 Regression Curves'!$E$9+'2025 Regression Curves'!$F$9))&lt;=($E$7*$E$8),IF(C20&lt;='2025 Regression Curves'!$F$9,('2025 Regression Curves'!$D$9*C20)/('2025 Regression Curves'!$E$9+C20),('2025 Regression Curves'!$D$9*'2025 Regression Curves'!$F$9)/('2025 Regression Curves'!$E$9+'2025 Regression Curves'!$F$9)),($E$7*$E$8))</f>
        <v>6.5660200746491898E-2</v>
      </c>
      <c r="I20" s="49">
        <f>IF(IF(C20&lt;='2025 Regression Curves'!$F$10,('2025 Regression Curves'!$D$10*C20)/('2025 Regression Curves'!$E$10+C20),('2025 Regression Curves'!$D$10*'2025 Regression Curves'!$F$10)/('2025 Regression Curves'!$E$10+'2025 Regression Curves'!$F$10))&lt;=($E$7*$E$8),IF(C20&lt;='2025 Regression Curves'!$F$10,('2025 Regression Curves'!$D$10*C20)/('2025 Regression Curves'!$E$10+C20),('2025 Regression Curves'!$D$10*'2025 Regression Curves'!$F$10)/('2025 Regression Curves'!$E$10+'2025 Regression Curves'!$F$10)),($E$7*$E$8))</f>
        <v>0.14492224996908504</v>
      </c>
      <c r="J20" s="49">
        <f>IF(IF(C20&lt;='2025 Regression Curves'!$F$11,('2025 Regression Curves'!$D$11*C20)/('2025 Regression Curves'!$E$11+C20),('2025 Regression Curves'!$D$11*'2025 Regression Curves'!$F$11)/('2025 Regression Curves'!$E$11+'2025 Regression Curves'!$F$11))&lt;=($E$7*$E$8),IF(C20&lt;='2025 Regression Curves'!$F$11,('2025 Regression Curves'!$D$11*C20)/('2025 Regression Curves'!$E$11+C20),('2025 Regression Curves'!$D$11*'2025 Regression Curves'!$F$11)/('2025 Regression Curves'!$E$11+'2025 Regression Curves'!$F$11)),($E$7*$E$8))</f>
        <v>0.1570758385978632</v>
      </c>
      <c r="K20" s="49">
        <f>IF(IF(C20&lt;='2025 Regression Curves'!$F$12,('2025 Regression Curves'!$D$12*C20)/('2025 Regression Curves'!$E$12+C20),('2025 Regression Curves'!$D$12*'2025 Regression Curves'!$F$12)/('2025 Regression Curves'!$E$12+'2025 Regression Curves'!$F$12))&lt;=($E$7*$E$8),IF(C20&lt;='2025 Regression Curves'!$F$12,('2025 Regression Curves'!$D$12*C20)/('2025 Regression Curves'!$E$12+C20),('2025 Regression Curves'!$D$12*'2025 Regression Curves'!$F$12)/('2025 Regression Curves'!$E$12+'2025 Regression Curves'!$F$12)),($E$7*$E$8))</f>
        <v>0.1646198977713535</v>
      </c>
      <c r="L20" s="49">
        <f>IF(IF(C20&lt;='2025 Regression Curves'!$F$13,('2025 Regression Curves'!$D$13*C20)/('2025 Regression Curves'!$E$13+C20),('2025 Regression Curves'!$D$13*'2025 Regression Curves'!$F$13)/('2025 Regression Curves'!$E$13+'2025 Regression Curves'!$F$13))&lt;=($E$7*$E$8),IF(C20&lt;='2025 Regression Curves'!$F$13,('2025 Regression Curves'!$D$13*C20)/('2025 Regression Curves'!$E$13+C20),('2025 Regression Curves'!$D$13*'2025 Regression Curves'!$F$13)/('2025 Regression Curves'!$E$13+'2025 Regression Curves'!$F$13)),($E$7*$E$8))</f>
        <v>0.11343575466086081</v>
      </c>
      <c r="M20" s="49">
        <f>IF(IF(C20&lt;='2025 Regression Curves'!$F$14,('2025 Regression Curves'!$D$14*C20)/('2025 Regression Curves'!$E$14+C20),('2025 Regression Curves'!$D$14*'2025 Regression Curves'!$F$14)/('2025 Regression Curves'!$E$14+'2025 Regression Curves'!$F$14))&lt;=($E$7*$E$8),IF(C20&lt;='2025 Regression Curves'!$F$14,('2025 Regression Curves'!$D$14*C20)/('2025 Regression Curves'!$E$14+C20),('2025 Regression Curves'!$D$14*'2025 Regression Curves'!$F$14)/('2025 Regression Curves'!$E$14+'2025 Regression Curves'!$F$14)),($E$7*$E$8))</f>
        <v>8.8321337357789645E-2</v>
      </c>
      <c r="N20" s="49">
        <f>IF(IF(C20&lt;='2025 Regression Curves'!$F$15,('2025 Regression Curves'!$D$15*C20)/('2025 Regression Curves'!$E$15+C20),('2025 Regression Curves'!$D$15*'2025 Regression Curves'!$F$15)/('2025 Regression Curves'!$E$15+'2025 Regression Curves'!$F$15))&lt;=($E$7*$E$8),IF(C20&lt;='2025 Regression Curves'!$F$15,('2025 Regression Curves'!$D$15*C20)/('2025 Regression Curves'!$E$15+C20),('2025 Regression Curves'!$D$15*'2025 Regression Curves'!$F$15)/('2025 Regression Curves'!$E$15+'2025 Regression Curves'!$F$15)),($E$7*$E$8))</f>
        <v>0.14717711308730766</v>
      </c>
    </row>
    <row r="21" spans="2:14" s="3" customFormat="1" ht="17.45" customHeight="1" x14ac:dyDescent="0.25">
      <c r="B21" s="192"/>
      <c r="C21" s="50">
        <v>1000</v>
      </c>
      <c r="D21" s="51">
        <f>IF(IF(C21&lt;='2025 Regression Curves'!$F$5,('2025 Regression Curves'!$D$5*C21)/('2025 Regression Curves'!$E$5+C21),('2025 Regression Curves'!$D$5*'2025 Regression Curves'!$F$5)/('2025 Regression Curves'!$E$5+'2025 Regression Curves'!$F$5))&lt;=($E$7*$E$8),IF(C21&lt;='2025 Regression Curves'!$F$5,('2025 Regression Curves'!$D$5*C21)/('2025 Regression Curves'!$E$5+C21),('2025 Regression Curves'!$D$5*'2025 Regression Curves'!$F$5)/('2025 Regression Curves'!$E$5+'2025 Regression Curves'!$F$5)),($E$7*$E$8))</f>
        <v>0.14297899797385316</v>
      </c>
      <c r="E21" s="51">
        <f>IF(IF(C21&lt;='2025 Regression Curves'!$F$6,('2025 Regression Curves'!$D$6*C21)/('2025 Regression Curves'!$E$6+C21),('2025 Regression Curves'!$D$6*'2025 Regression Curves'!$F$6)/('2025 Regression Curves'!$E$6+'2025 Regression Curves'!$F$6))&lt;=($E$7*$E$8),IF(C21&lt;='2025 Regression Curves'!$F$6,('2025 Regression Curves'!$D$6*C21)/('2025 Regression Curves'!$E$6+C21),('2025 Regression Curves'!$D$6*'2025 Regression Curves'!$F$6)/('2025 Regression Curves'!$E$6+'2025 Regression Curves'!$F$6)),($E$7*$E$8))</f>
        <v>0.19600000000000001</v>
      </c>
      <c r="F21" s="51">
        <f>IF(IF(C21&lt;='2025 Regression Curves'!$F$7,('2025 Regression Curves'!$D$7*C21)/('2025 Regression Curves'!$E$7+C21),('2025 Regression Curves'!$D$7*'2025 Regression Curves'!$F$7)/('2025 Regression Curves'!$E$7+'2025 Regression Curves'!$F$7))&lt;=($E$7*$E$8),IF(C21&lt;='2025 Regression Curves'!$F$7,('2025 Regression Curves'!$D$7*C21)/('2025 Regression Curves'!$E$7+C21),('2025 Regression Curves'!$D$7*'2025 Regression Curves'!$F$7)/('2025 Regression Curves'!$E$7+'2025 Regression Curves'!$F$7)),($E$7*$E$8))</f>
        <v>9.6313928369955545E-2</v>
      </c>
      <c r="G21" s="51">
        <f>IF(IF(C21&lt;='2025 Regression Curves'!$F$8,('2025 Regression Curves'!$D$8*C21)/('2025 Regression Curves'!$E$8+C21),('2025 Regression Curves'!$D$8*'2025 Regression Curves'!$F$8)/('2025 Regression Curves'!$E$8+'2025 Regression Curves'!$F$8))&lt;=($E$7*$E$8),IF(C21&lt;='2025 Regression Curves'!$F$8,('2025 Regression Curves'!$D$8*C21)/('2025 Regression Curves'!$E$8+C21),('2025 Regression Curves'!$D$8*'2025 Regression Curves'!$F$8)/('2025 Regression Curves'!$E$8+'2025 Regression Curves'!$F$8)),($E$7*$E$8))</f>
        <v>0.15743492119507557</v>
      </c>
      <c r="H21" s="51">
        <f>IF(IF(C21&lt;='2025 Regression Curves'!$F$9,('2025 Regression Curves'!$D$9*C21)/('2025 Regression Curves'!$E$9+C21),('2025 Regression Curves'!$D$9*'2025 Regression Curves'!$F$9)/('2025 Regression Curves'!$E$9+'2025 Regression Curves'!$F$9))&lt;=($E$7*$E$8),IF(C21&lt;='2025 Regression Curves'!$F$9,('2025 Regression Curves'!$D$9*C21)/('2025 Regression Curves'!$E$9+C21),('2025 Regression Curves'!$D$9*'2025 Regression Curves'!$F$9)/('2025 Regression Curves'!$E$9+'2025 Regression Curves'!$F$9)),($E$7*$E$8))</f>
        <v>7.2267484792458814E-2</v>
      </c>
      <c r="I21" s="51">
        <f>IF(IF(C21&lt;='2025 Regression Curves'!$F$10,('2025 Regression Curves'!$D$10*C21)/('2025 Regression Curves'!$E$10+C21),('2025 Regression Curves'!$D$10*'2025 Regression Curves'!$F$10)/('2025 Regression Curves'!$E$10+'2025 Regression Curves'!$F$10))&lt;=($E$7*$E$8),IF(C21&lt;='2025 Regression Curves'!$F$10,('2025 Regression Curves'!$D$10*C21)/('2025 Regression Curves'!$E$10+C21),('2025 Regression Curves'!$D$10*'2025 Regression Curves'!$F$10)/('2025 Regression Curves'!$E$10+'2025 Regression Curves'!$F$10)),($E$7*$E$8))</f>
        <v>0.14786965575780747</v>
      </c>
      <c r="J21" s="51">
        <f>IF(IF(C21&lt;='2025 Regression Curves'!$F$11,('2025 Regression Curves'!$D$11*C21)/('2025 Regression Curves'!$E$11+C21),('2025 Regression Curves'!$D$11*'2025 Regression Curves'!$F$11)/('2025 Regression Curves'!$E$11+'2025 Regression Curves'!$F$11))&lt;=($E$7*$E$8),IF(C21&lt;='2025 Regression Curves'!$F$11,('2025 Regression Curves'!$D$11*C21)/('2025 Regression Curves'!$E$11+C21),('2025 Regression Curves'!$D$11*'2025 Regression Curves'!$F$11)/('2025 Regression Curves'!$E$11+'2025 Regression Curves'!$F$11)),($E$7*$E$8))</f>
        <v>0.16101800537397593</v>
      </c>
      <c r="K21" s="51">
        <f>IF(IF(C21&lt;='2025 Regression Curves'!$F$12,('2025 Regression Curves'!$D$12*C21)/('2025 Regression Curves'!$E$12+C21),('2025 Regression Curves'!$D$12*'2025 Regression Curves'!$F$12)/('2025 Regression Curves'!$E$12+'2025 Regression Curves'!$F$12))&lt;=($E$7*$E$8),IF(C21&lt;='2025 Regression Curves'!$F$12,('2025 Regression Curves'!$D$12*C21)/('2025 Regression Curves'!$E$12+C21),('2025 Regression Curves'!$D$12*'2025 Regression Curves'!$F$12)/('2025 Regression Curves'!$E$12+'2025 Regression Curves'!$F$12)),($E$7*$E$8))</f>
        <v>0.16975425194839761</v>
      </c>
      <c r="L21" s="51">
        <f>IF(IF(C21&lt;='2025 Regression Curves'!$F$13,('2025 Regression Curves'!$D$13*C21)/('2025 Regression Curves'!$E$13+C21),('2025 Regression Curves'!$D$13*'2025 Regression Curves'!$F$13)/('2025 Regression Curves'!$E$13+'2025 Regression Curves'!$F$13))&lt;=($E$7*$E$8),IF(C21&lt;='2025 Regression Curves'!$F$13,('2025 Regression Curves'!$D$13*C21)/('2025 Regression Curves'!$E$13+C21),('2025 Regression Curves'!$D$13*'2025 Regression Curves'!$F$13)/('2025 Regression Curves'!$E$13+'2025 Regression Curves'!$F$13)),($E$7*$E$8))</f>
        <v>0.11667319392496797</v>
      </c>
      <c r="M21" s="51">
        <f>IF(IF(C21&lt;='2025 Regression Curves'!$F$14,('2025 Regression Curves'!$D$14*C21)/('2025 Regression Curves'!$E$14+C21),('2025 Regression Curves'!$D$14*'2025 Regression Curves'!$F$14)/('2025 Regression Curves'!$E$14+'2025 Regression Curves'!$F$14))&lt;=($E$7*$E$8),IF(C21&lt;='2025 Regression Curves'!$F$14,('2025 Regression Curves'!$D$14*C21)/('2025 Regression Curves'!$E$14+C21),('2025 Regression Curves'!$D$14*'2025 Regression Curves'!$F$14)/('2025 Regression Curves'!$E$14+'2025 Regression Curves'!$F$14)),($E$7*$E$8))</f>
        <v>9.5188048945274384E-2</v>
      </c>
      <c r="N21" s="51">
        <f>IF(IF(C21&lt;='2025 Regression Curves'!$F$15,('2025 Regression Curves'!$D$15*C21)/('2025 Regression Curves'!$E$15+C21),('2025 Regression Curves'!$D$15*'2025 Regression Curves'!$F$15)/('2025 Regression Curves'!$E$15+'2025 Regression Curves'!$F$15))&lt;=($E$7*$E$8),IF(C21&lt;='2025 Regression Curves'!$F$15,('2025 Regression Curves'!$D$15*C21)/('2025 Regression Curves'!$E$15+C21),('2025 Regression Curves'!$D$15*'2025 Regression Curves'!$F$15)/('2025 Regression Curves'!$E$15+'2025 Regression Curves'!$F$15)),($E$7*$E$8))</f>
        <v>0.15099592157716391</v>
      </c>
    </row>
    <row r="22" spans="2:14" s="3" customFormat="1" ht="17.45" customHeight="1" x14ac:dyDescent="0.25">
      <c r="B22" s="192"/>
      <c r="C22" s="48">
        <v>1250</v>
      </c>
      <c r="D22" s="49">
        <f>IF(IF(C22&lt;='2025 Regression Curves'!$F$5,('2025 Regression Curves'!$D$5*C22)/('2025 Regression Curves'!$E$5+C22),('2025 Regression Curves'!$D$5*'2025 Regression Curves'!$F$5)/('2025 Regression Curves'!$E$5+'2025 Regression Curves'!$F$5))&lt;=($E$7*$E$8),IF(C22&lt;='2025 Regression Curves'!$F$5,('2025 Regression Curves'!$D$5*C22)/('2025 Regression Curves'!$E$5+C22),('2025 Regression Curves'!$D$5*'2025 Regression Curves'!$F$5)/('2025 Regression Curves'!$E$5+'2025 Regression Curves'!$F$5)),($E$7*$E$8))</f>
        <v>0.15504048544368612</v>
      </c>
      <c r="E22" s="49">
        <f>IF(IF(C22&lt;='2025 Regression Curves'!$F$6,('2025 Regression Curves'!$D$6*C22)/('2025 Regression Curves'!$E$6+C22),('2025 Regression Curves'!$D$6*'2025 Regression Curves'!$F$6)/('2025 Regression Curves'!$E$6+'2025 Regression Curves'!$F$6))&lt;=($E$7*$E$8),IF(C22&lt;='2025 Regression Curves'!$F$6,('2025 Regression Curves'!$D$6*C22)/('2025 Regression Curves'!$E$6+C22),('2025 Regression Curves'!$D$6*'2025 Regression Curves'!$F$6)/('2025 Regression Curves'!$E$6+'2025 Regression Curves'!$F$6)),($E$7*$E$8))</f>
        <v>0.19600000000000001</v>
      </c>
      <c r="F22" s="49">
        <f>IF(IF(C22&lt;='2025 Regression Curves'!$F$7,('2025 Regression Curves'!$D$7*C22)/('2025 Regression Curves'!$E$7+C22),('2025 Regression Curves'!$D$7*'2025 Regression Curves'!$F$7)/('2025 Regression Curves'!$E$7+'2025 Regression Curves'!$F$7))&lt;=($E$7*$E$8),IF(C22&lt;='2025 Regression Curves'!$F$7,('2025 Regression Curves'!$D$7*C22)/('2025 Regression Curves'!$E$7+C22),('2025 Regression Curves'!$D$7*'2025 Regression Curves'!$F$7)/('2025 Regression Curves'!$E$7+'2025 Regression Curves'!$F$7)),($E$7*$E$8))</f>
        <v>0.10933134785155632</v>
      </c>
      <c r="G22" s="49">
        <f>IF(IF(C22&lt;='2025 Regression Curves'!$F$8,('2025 Regression Curves'!$D$8*C22)/('2025 Regression Curves'!$E$8+C22),('2025 Regression Curves'!$D$8*'2025 Regression Curves'!$F$8)/('2025 Regression Curves'!$E$8+'2025 Regression Curves'!$F$8))&lt;=($E$7*$E$8),IF(C22&lt;='2025 Regression Curves'!$F$8,('2025 Regression Curves'!$D$8*C22)/('2025 Regression Curves'!$E$8+C22),('2025 Regression Curves'!$D$8*'2025 Regression Curves'!$F$8)/('2025 Regression Curves'!$E$8+'2025 Regression Curves'!$F$8)),($E$7*$E$8))</f>
        <v>0.16535353064136721</v>
      </c>
      <c r="H22" s="49">
        <f>IF(IF(C22&lt;='2025 Regression Curves'!$F$9,('2025 Regression Curves'!$D$9*C22)/('2025 Regression Curves'!$E$9+C22),('2025 Regression Curves'!$D$9*'2025 Regression Curves'!$F$9)/('2025 Regression Curves'!$E$9+'2025 Regression Curves'!$F$9))&lt;=($E$7*$E$8),IF(C22&lt;='2025 Regression Curves'!$F$9,('2025 Regression Curves'!$D$9*C22)/('2025 Regression Curves'!$E$9+C22),('2025 Regression Curves'!$D$9*'2025 Regression Curves'!$F$9)/('2025 Regression Curves'!$E$9+'2025 Regression Curves'!$F$9)),($E$7*$E$8))</f>
        <v>8.8252825403836166E-2</v>
      </c>
      <c r="I22" s="49">
        <f>IF(IF(C22&lt;='2025 Regression Curves'!$F$10,('2025 Regression Curves'!$D$10*C22)/('2025 Regression Curves'!$E$10+C22),('2025 Regression Curves'!$D$10*'2025 Regression Curves'!$F$10)/('2025 Regression Curves'!$E$10+'2025 Regression Curves'!$F$10))&lt;=($E$7*$E$8),IF(C22&lt;='2025 Regression Curves'!$F$10,('2025 Regression Curves'!$D$10*C22)/('2025 Regression Curves'!$E$10+C22),('2025 Regression Curves'!$D$10*'2025 Regression Curves'!$F$10)/('2025 Regression Curves'!$E$10+'2025 Regression Curves'!$F$10)),($E$7*$E$8))</f>
        <v>0.15348858350219904</v>
      </c>
      <c r="J22" s="49">
        <f>IF(IF(C22&lt;='2025 Regression Curves'!$F$11,('2025 Regression Curves'!$D$11*C22)/('2025 Regression Curves'!$E$11+C22),('2025 Regression Curves'!$D$11*'2025 Regression Curves'!$F$11)/('2025 Regression Curves'!$E$11+'2025 Regression Curves'!$F$11))&lt;=($E$7*$E$8),IF(C22&lt;='2025 Regression Curves'!$F$11,('2025 Regression Curves'!$D$11*C22)/('2025 Regression Curves'!$E$11+C22),('2025 Regression Curves'!$D$11*'2025 Regression Curves'!$F$11)/('2025 Regression Curves'!$E$11+'2025 Regression Curves'!$F$11)),($E$7*$E$8))</f>
        <v>0.16863614222772236</v>
      </c>
      <c r="K22" s="49">
        <f>IF(IF(C22&lt;='2025 Regression Curves'!$F$12,('2025 Regression Curves'!$D$12*C22)/('2025 Regression Curves'!$E$12+C22),('2025 Regression Curves'!$D$12*'2025 Regression Curves'!$F$12)/('2025 Regression Curves'!$E$12+'2025 Regression Curves'!$F$12))&lt;=($E$7*$E$8),IF(C22&lt;='2025 Regression Curves'!$F$12,('2025 Regression Curves'!$D$12*C22)/('2025 Regression Curves'!$E$12+C22),('2025 Regression Curves'!$D$12*'2025 Regression Curves'!$F$12)/('2025 Regression Curves'!$E$12+'2025 Regression Curves'!$F$12)),($E$7*$E$8))</f>
        <v>0.17985118076872664</v>
      </c>
      <c r="L22" s="49">
        <f>IF(IF(C22&lt;='2025 Regression Curves'!$F$13,('2025 Regression Curves'!$D$13*C22)/('2025 Regression Curves'!$E$13+C22),('2025 Regression Curves'!$D$13*'2025 Regression Curves'!$F$13)/('2025 Regression Curves'!$E$13+'2025 Regression Curves'!$F$13))&lt;=($E$7*$E$8),IF(C22&lt;='2025 Regression Curves'!$F$13,('2025 Regression Curves'!$D$13*C22)/('2025 Regression Curves'!$E$13+C22),('2025 Regression Curves'!$D$13*'2025 Regression Curves'!$F$13)/('2025 Regression Curves'!$E$13+'2025 Regression Curves'!$F$13)),($E$7*$E$8))</f>
        <v>0.12299147864899265</v>
      </c>
      <c r="M22" s="49">
        <f>IF(IF(C22&lt;='2025 Regression Curves'!$F$14,('2025 Regression Curves'!$D$14*C22)/('2025 Regression Curves'!$E$14+C22),('2025 Regression Curves'!$D$14*'2025 Regression Curves'!$F$14)/('2025 Regression Curves'!$E$14+'2025 Regression Curves'!$F$14))&lt;=($E$7*$E$8),IF(C22&lt;='2025 Regression Curves'!$F$14,('2025 Regression Curves'!$D$14*C22)/('2025 Regression Curves'!$E$14+C22),('2025 Regression Curves'!$D$14*'2025 Regression Curves'!$F$14)/('2025 Regression Curves'!$E$14+'2025 Regression Curves'!$F$14)),($E$7*$E$8))</f>
        <v>0.1106766287270442</v>
      </c>
      <c r="N22" s="49">
        <f>IF(IF(C22&lt;='2025 Regression Curves'!$F$15,('2025 Regression Curves'!$D$15*C22)/('2025 Regression Curves'!$E$15+C22),('2025 Regression Curves'!$D$15*'2025 Regression Curves'!$F$15)/('2025 Regression Curves'!$E$15+'2025 Regression Curves'!$F$15))&lt;=($E$7*$E$8),IF(C22&lt;='2025 Regression Curves'!$F$15,('2025 Regression Curves'!$D$15*C22)/('2025 Regression Curves'!$E$15+C22),('2025 Regression Curves'!$D$15*'2025 Regression Curves'!$F$15)/('2025 Regression Curves'!$E$15+'2025 Regression Curves'!$F$15)),($E$7*$E$8))</f>
        <v>0.15839364084105254</v>
      </c>
    </row>
    <row r="23" spans="2:14" s="3" customFormat="1" ht="17.45" customHeight="1" x14ac:dyDescent="0.25">
      <c r="B23" s="192"/>
      <c r="C23" s="50">
        <v>1500</v>
      </c>
      <c r="D23" s="51">
        <f>IF(IF(C23&lt;='2025 Regression Curves'!$F$5,('2025 Regression Curves'!$D$5*C23)/('2025 Regression Curves'!$E$5+C23),('2025 Regression Curves'!$D$5*'2025 Regression Curves'!$F$5)/('2025 Regression Curves'!$E$5+'2025 Regression Curves'!$F$5))&lt;=($E$7*$E$8),IF(C23&lt;='2025 Regression Curves'!$F$5,('2025 Regression Curves'!$D$5*C23)/('2025 Regression Curves'!$E$5+C23),('2025 Regression Curves'!$D$5*'2025 Regression Curves'!$F$5)/('2025 Regression Curves'!$E$5+'2025 Regression Curves'!$F$5)),($E$7*$E$8))</f>
        <v>0.16427938916149176</v>
      </c>
      <c r="E23" s="51">
        <f>IF(IF(C23&lt;='2025 Regression Curves'!$F$6,('2025 Regression Curves'!$D$6*C23)/('2025 Regression Curves'!$E$6+C23),('2025 Regression Curves'!$D$6*'2025 Regression Curves'!$F$6)/('2025 Regression Curves'!$E$6+'2025 Regression Curves'!$F$6))&lt;=($E$7*$E$8),IF(C23&lt;='2025 Regression Curves'!$F$6,('2025 Regression Curves'!$D$6*C23)/('2025 Regression Curves'!$E$6+C23),('2025 Regression Curves'!$D$6*'2025 Regression Curves'!$F$6)/('2025 Regression Curves'!$E$6+'2025 Regression Curves'!$F$6)),($E$7*$E$8))</f>
        <v>0.19600000000000001</v>
      </c>
      <c r="F23" s="51">
        <f>IF(IF(C23&lt;='2025 Regression Curves'!$F$7,('2025 Regression Curves'!$D$7*C23)/('2025 Regression Curves'!$E$7+C23),('2025 Regression Curves'!$D$7*'2025 Regression Curves'!$F$7)/('2025 Regression Curves'!$E$7+'2025 Regression Curves'!$F$7))&lt;=($E$7*$E$8),IF(C23&lt;='2025 Regression Curves'!$F$7,('2025 Regression Curves'!$D$7*C23)/('2025 Regression Curves'!$E$7+C23),('2025 Regression Curves'!$D$7*'2025 Regression Curves'!$F$7)/('2025 Regression Curves'!$E$7+'2025 Regression Curves'!$F$7)),($E$7*$E$8))</f>
        <v>0.12015808360983155</v>
      </c>
      <c r="G23" s="51">
        <f>IF(IF(C23&lt;='2025 Regression Curves'!$F$8,('2025 Regression Curves'!$D$8*C23)/('2025 Regression Curves'!$E$8+C23),('2025 Regression Curves'!$D$8*'2025 Regression Curves'!$F$8)/('2025 Regression Curves'!$E$8+'2025 Regression Curves'!$F$8))&lt;=($E$7*$E$8),IF(C23&lt;='2025 Regression Curves'!$F$8,('2025 Regression Curves'!$D$8*C23)/('2025 Regression Curves'!$E$8+C23),('2025 Regression Curves'!$D$8*'2025 Regression Curves'!$F$8)/('2025 Regression Curves'!$E$8+'2025 Regression Curves'!$F$8)),($E$7*$E$8))</f>
        <v>0.17109049943548402</v>
      </c>
      <c r="H23" s="51">
        <f>IF(IF(C23&lt;='2025 Regression Curves'!$F$9,('2025 Regression Curves'!$D$9*C23)/('2025 Regression Curves'!$E$9+C23),('2025 Regression Curves'!$D$9*'2025 Regression Curves'!$F$9)/('2025 Regression Curves'!$E$9+'2025 Regression Curves'!$F$9))&lt;=($E$7*$E$8),IF(C23&lt;='2025 Regression Curves'!$F$9,('2025 Regression Curves'!$D$9*C23)/('2025 Regression Curves'!$E$9+C23),('2025 Regression Curves'!$D$9*'2025 Regression Curves'!$F$9)/('2025 Regression Curves'!$E$9+'2025 Regression Curves'!$F$9)),($E$7*$E$8))</f>
        <v>0.10351807390433686</v>
      </c>
      <c r="I23" s="51">
        <f>IF(IF(C23&lt;='2025 Regression Curves'!$F$10,('2025 Regression Curves'!$D$10*C23)/('2025 Regression Curves'!$E$10+C23),('2025 Regression Curves'!$D$10*'2025 Regression Curves'!$F$10)/('2025 Regression Curves'!$E$10+'2025 Regression Curves'!$F$10))&lt;=($E$7*$E$8),IF(C23&lt;='2025 Regression Curves'!$F$10,('2025 Regression Curves'!$D$10*C23)/('2025 Regression Curves'!$E$10+C23),('2025 Regression Curves'!$D$10*'2025 Regression Curves'!$F$10)/('2025 Regression Curves'!$E$10+'2025 Regression Curves'!$F$10)),($E$7*$E$8))</f>
        <v>0.15747794003773671</v>
      </c>
      <c r="J23" s="51">
        <f>IF(IF(C23&lt;='2025 Regression Curves'!$F$11,('2025 Regression Curves'!$D$11*C23)/('2025 Regression Curves'!$E$11+C23),('2025 Regression Curves'!$D$11*'2025 Regression Curves'!$F$11)/('2025 Regression Curves'!$E$11+'2025 Regression Curves'!$F$11))&lt;=($E$7*$E$8),IF(C23&lt;='2025 Regression Curves'!$F$11,('2025 Regression Curves'!$D$11*C23)/('2025 Regression Curves'!$E$11+C23),('2025 Regression Curves'!$D$11*'2025 Regression Curves'!$F$11)/('2025 Regression Curves'!$E$11+'2025 Regression Curves'!$F$11)),($E$7*$E$8))</f>
        <v>0.17412842306063073</v>
      </c>
      <c r="K23" s="51">
        <f>IF(IF(C23&lt;='2025 Regression Curves'!$F$12,('2025 Regression Curves'!$D$12*C23)/('2025 Regression Curves'!$E$12+C23),('2025 Regression Curves'!$D$12*'2025 Regression Curves'!$F$12)/('2025 Regression Curves'!$E$12+'2025 Regression Curves'!$F$12))&lt;=($E$7*$E$8),IF(C23&lt;='2025 Regression Curves'!$F$12,('2025 Regression Curves'!$D$12*C23)/('2025 Regression Curves'!$E$12+C23),('2025 Regression Curves'!$D$12*'2025 Regression Curves'!$F$12)/('2025 Regression Curves'!$E$12+'2025 Regression Curves'!$F$12)),($E$7*$E$8))</f>
        <v>0.18727731061317449</v>
      </c>
      <c r="L23" s="51">
        <f>IF(IF(C23&lt;='2025 Regression Curves'!$F$13,('2025 Regression Curves'!$D$13*C23)/('2025 Regression Curves'!$E$13+C23),('2025 Regression Curves'!$D$13*'2025 Regression Curves'!$F$13)/('2025 Regression Curves'!$E$13+'2025 Regression Curves'!$F$13))&lt;=($E$7*$E$8),IF(C23&lt;='2025 Regression Curves'!$F$13,('2025 Regression Curves'!$D$13*C23)/('2025 Regression Curves'!$E$13+C23),('2025 Regression Curves'!$D$13*'2025 Regression Curves'!$F$13)/('2025 Regression Curves'!$E$13+'2025 Regression Curves'!$F$13)),($E$7*$E$8))</f>
        <v>0.12759808391565197</v>
      </c>
      <c r="M23" s="51">
        <f>IF(IF(C23&lt;='2025 Regression Curves'!$F$14,('2025 Regression Curves'!$D$14*C23)/('2025 Regression Curves'!$E$14+C23),('2025 Regression Curves'!$D$14*'2025 Regression Curves'!$F$14)/('2025 Regression Curves'!$E$14+'2025 Regression Curves'!$F$14))&lt;=($E$7*$E$8),IF(C23&lt;='2025 Regression Curves'!$F$14,('2025 Regression Curves'!$D$14*C23)/('2025 Regression Curves'!$E$14+C23),('2025 Regression Curves'!$D$14*'2025 Regression Curves'!$F$14)/('2025 Regression Curves'!$E$14+'2025 Regression Curves'!$F$14)),($E$7*$E$8))</f>
        <v>0.12414333268063442</v>
      </c>
      <c r="N23" s="51">
        <f>IF(IF(C23&lt;='2025 Regression Curves'!$F$15,('2025 Regression Curves'!$D$15*C23)/('2025 Regression Curves'!$E$15+C23),('2025 Regression Curves'!$D$15*'2025 Regression Curves'!$F$15)/('2025 Regression Curves'!$E$15+'2025 Regression Curves'!$F$15))&lt;=($E$7*$E$8),IF(C23&lt;='2025 Regression Curves'!$F$15,('2025 Regression Curves'!$D$15*C23)/('2025 Regression Curves'!$E$15+C23),('2025 Regression Curves'!$D$15*'2025 Regression Curves'!$F$15)/('2025 Regression Curves'!$E$15+'2025 Regression Curves'!$F$15)),($E$7*$E$8))</f>
        <v>0.16374175680775055</v>
      </c>
    </row>
    <row r="24" spans="2:14" s="3" customFormat="1" ht="17.45" customHeight="1" x14ac:dyDescent="0.25">
      <c r="B24" s="192"/>
      <c r="C24" s="48">
        <v>2000</v>
      </c>
      <c r="D24" s="49">
        <f>IF(IF(C24&lt;='2025 Regression Curves'!$F$5,('2025 Regression Curves'!$D$5*C24)/('2025 Regression Curves'!$E$5+C24),('2025 Regression Curves'!$D$5*'2025 Regression Curves'!$F$5)/('2025 Regression Curves'!$E$5+'2025 Regression Curves'!$F$5))&lt;=($E$7*$E$8),IF(C24&lt;='2025 Regression Curves'!$F$5,('2025 Regression Curves'!$D$5*C24)/('2025 Regression Curves'!$E$5+C24),('2025 Regression Curves'!$D$5*'2025 Regression Curves'!$F$5)/('2025 Regression Curves'!$E$5+'2025 Regression Curves'!$F$5)),($E$7*$E$8))</f>
        <v>0.17750105817938527</v>
      </c>
      <c r="E24" s="49">
        <f>IF(IF(C24&lt;='2025 Regression Curves'!$F$6,('2025 Regression Curves'!$D$6*C24)/('2025 Regression Curves'!$E$6+C24),('2025 Regression Curves'!$D$6*'2025 Regression Curves'!$F$6)/('2025 Regression Curves'!$E$6+'2025 Regression Curves'!$F$6))&lt;=($E$7*$E$8),IF(C24&lt;='2025 Regression Curves'!$F$6,('2025 Regression Curves'!$D$6*C24)/('2025 Regression Curves'!$E$6+C24),('2025 Regression Curves'!$D$6*'2025 Regression Curves'!$F$6)/('2025 Regression Curves'!$E$6+'2025 Regression Curves'!$F$6)),($E$7*$E$8))</f>
        <v>0.19600000000000001</v>
      </c>
      <c r="F24" s="49">
        <f>IF(IF(C24&lt;='2025 Regression Curves'!$F$7,('2025 Regression Curves'!$D$7*C24)/('2025 Regression Curves'!$E$7+C24),('2025 Regression Curves'!$D$7*'2025 Regression Curves'!$F$7)/('2025 Regression Curves'!$E$7+'2025 Regression Curves'!$F$7))&lt;=($E$7*$E$8),IF(C24&lt;='2025 Regression Curves'!$F$7,('2025 Regression Curves'!$D$7*C24)/('2025 Regression Curves'!$E$7+C24),('2025 Regression Curves'!$D$7*'2025 Regression Curves'!$F$7)/('2025 Regression Curves'!$E$7+'2025 Regression Curves'!$F$7)),($E$7*$E$8))</f>
        <v>0.13713287426471138</v>
      </c>
      <c r="G24" s="49">
        <f>IF(IF(C24&lt;='2025 Regression Curves'!$F$8,('2025 Regression Curves'!$D$8*C24)/('2025 Regression Curves'!$E$8+C24),('2025 Regression Curves'!$D$8*'2025 Regression Curves'!$F$8)/('2025 Regression Curves'!$E$8+'2025 Regression Curves'!$F$8))&lt;=($E$7*$E$8),IF(C24&lt;='2025 Regression Curves'!$F$8,('2025 Regression Curves'!$D$8*C24)/('2025 Regression Curves'!$E$8+C24),('2025 Regression Curves'!$D$8*'2025 Regression Curves'!$F$8)/('2025 Regression Curves'!$E$8+'2025 Regression Curves'!$F$8)),($E$7*$E$8))</f>
        <v>0.17884690402617212</v>
      </c>
      <c r="H24" s="49">
        <f>IF(IF(C24&lt;='2025 Regression Curves'!$F$9,('2025 Regression Curves'!$D$9*C24)/('2025 Regression Curves'!$E$9+C24),('2025 Regression Curves'!$D$9*'2025 Regression Curves'!$F$9)/('2025 Regression Curves'!$E$9+'2025 Regression Curves'!$F$9))&lt;=($E$7*$E$8),IF(C24&lt;='2025 Regression Curves'!$F$9,('2025 Regression Curves'!$D$9*C24)/('2025 Regression Curves'!$E$9+C24),('2025 Regression Curves'!$D$9*'2025 Regression Curves'!$F$9)/('2025 Regression Curves'!$E$9+'2025 Regression Curves'!$F$9)),($E$7*$E$8))</f>
        <v>0.13207453314195744</v>
      </c>
      <c r="I24" s="49">
        <f>IF(IF(C24&lt;='2025 Regression Curves'!$F$10,('2025 Regression Curves'!$D$10*C24)/('2025 Regression Curves'!$E$10+C24),('2025 Regression Curves'!$D$10*'2025 Regression Curves'!$F$10)/('2025 Regression Curves'!$E$10+'2025 Regression Curves'!$F$10))&lt;=($E$7*$E$8),IF(C24&lt;='2025 Regression Curves'!$F$10,('2025 Regression Curves'!$D$10*C24)/('2025 Regression Curves'!$E$10+C24),('2025 Regression Curves'!$D$10*'2025 Regression Curves'!$F$10)/('2025 Regression Curves'!$E$10+'2025 Regression Curves'!$F$10)),($E$7*$E$8))</f>
        <v>0.16276605167777178</v>
      </c>
      <c r="J24" s="49">
        <f>IF(IF(C24&lt;='2025 Regression Curves'!$F$11,('2025 Regression Curves'!$D$11*C24)/('2025 Regression Curves'!$E$11+C24),('2025 Regression Curves'!$D$11*'2025 Regression Curves'!$F$11)/('2025 Regression Curves'!$E$11+'2025 Regression Curves'!$F$11))&lt;=($E$7*$E$8),IF(C24&lt;='2025 Regression Curves'!$F$11,('2025 Regression Curves'!$D$11*C24)/('2025 Regression Curves'!$E$11+C24),('2025 Regression Curves'!$D$11*'2025 Regression Curves'!$F$11)/('2025 Regression Curves'!$E$11+'2025 Regression Curves'!$F$11)),($E$7*$E$8))</f>
        <v>0.18151821661842907</v>
      </c>
      <c r="K24" s="49">
        <f>IF(IF(C24&lt;='2025 Regression Curves'!$F$12,('2025 Regression Curves'!$D$12*C24)/('2025 Regression Curves'!$E$12+C24),('2025 Regression Curves'!$D$12*'2025 Regression Curves'!$F$12)/('2025 Regression Curves'!$E$12+'2025 Regression Curves'!$F$12))&lt;=($E$7*$E$8),IF(C24&lt;='2025 Regression Curves'!$F$12,('2025 Regression Curves'!$D$12*C24)/('2025 Regression Curves'!$E$12+C24),('2025 Regression Curves'!$D$12*'2025 Regression Curves'!$F$12)/('2025 Regression Curves'!$E$12+'2025 Regression Curves'!$F$12)),($E$7*$E$8))</f>
        <v>0.19600000000000001</v>
      </c>
      <c r="L24" s="49">
        <f>IF(IF(C24&lt;='2025 Regression Curves'!$F$13,('2025 Regression Curves'!$D$13*C24)/('2025 Regression Curves'!$E$13+C24),('2025 Regression Curves'!$D$13*'2025 Regression Curves'!$F$13)/('2025 Regression Curves'!$E$13+'2025 Regression Curves'!$F$13))&lt;=($E$7*$E$8),IF(C24&lt;='2025 Regression Curves'!$F$13,('2025 Regression Curves'!$D$13*C24)/('2025 Regression Curves'!$E$13+C24),('2025 Regression Curves'!$D$13*'2025 Regression Curves'!$F$13)/('2025 Regression Curves'!$E$13+'2025 Regression Curves'!$F$13)),($E$7*$E$8))</f>
        <v>0.13386544135734441</v>
      </c>
      <c r="M24" s="49">
        <f>IF(IF(C24&lt;='2025 Regression Curves'!$F$14,('2025 Regression Curves'!$D$14*C24)/('2025 Regression Curves'!$E$14+C24),('2025 Regression Curves'!$D$14*'2025 Regression Curves'!$F$14)/('2025 Regression Curves'!$E$14+'2025 Regression Curves'!$F$14))&lt;=($E$7*$E$8),IF(C24&lt;='2025 Regression Curves'!$F$14,('2025 Regression Curves'!$D$14*C24)/('2025 Regression Curves'!$E$14+C24),('2025 Regression Curves'!$D$14*'2025 Regression Curves'!$F$14)/('2025 Regression Curves'!$E$14+'2025 Regression Curves'!$F$14)),($E$7*$E$8))</f>
        <v>0.146411869984412</v>
      </c>
      <c r="N24" s="49"/>
    </row>
    <row r="25" spans="2:14" s="3" customFormat="1" ht="17.45" customHeight="1" x14ac:dyDescent="0.25">
      <c r="B25" s="192"/>
      <c r="C25" s="50">
        <v>2500</v>
      </c>
      <c r="D25" s="51">
        <f>IF(IF(C25&lt;='2025 Regression Curves'!$F$5,('2025 Regression Curves'!$D$5*C25)/('2025 Regression Curves'!$E$5+C25),('2025 Regression Curves'!$D$5*'2025 Regression Curves'!$F$5)/('2025 Regression Curves'!$E$5+'2025 Regression Curves'!$F$5))&lt;=($E$7*$E$8),IF(C25&lt;='2025 Regression Curves'!$F$5,('2025 Regression Curves'!$D$5*C25)/('2025 Regression Curves'!$E$5+C25),('2025 Regression Curves'!$D$5*'2025 Regression Curves'!$F$5)/('2025 Regression Curves'!$E$5+'2025 Regression Curves'!$F$5)),($E$7*$E$8))</f>
        <v>0.18650744563228255</v>
      </c>
      <c r="E25" s="51"/>
      <c r="F25" s="51">
        <f>IF(IF(C25&lt;='2025 Regression Curves'!$F$7,('2025 Regression Curves'!$D$7*C25)/('2025 Regression Curves'!$E$7+C25),('2025 Regression Curves'!$D$7*'2025 Regression Curves'!$F$7)/('2025 Regression Curves'!$E$7+'2025 Regression Curves'!$F$7))&lt;=($E$7*$E$8),IF(C25&lt;='2025 Regression Curves'!$F$7,('2025 Regression Curves'!$D$7*C25)/('2025 Regression Curves'!$E$7+C25),('2025 Regression Curves'!$D$7*'2025 Regression Curves'!$F$7)/('2025 Regression Curves'!$E$7+'2025 Regression Curves'!$F$7)),($E$7*$E$8))</f>
        <v>0.14983306833445562</v>
      </c>
      <c r="G25" s="51">
        <f>IF(IF(C25&lt;='2025 Regression Curves'!$F$8,('2025 Regression Curves'!$D$8*C25)/('2025 Regression Curves'!$E$8+C25),('2025 Regression Curves'!$D$8*'2025 Regression Curves'!$F$8)/('2025 Regression Curves'!$E$8+'2025 Regression Curves'!$F$8))&lt;=($E$7*$E$8),IF(C25&lt;='2025 Regression Curves'!$F$8,('2025 Regression Curves'!$D$8*C25)/('2025 Regression Curves'!$E$8+C25),('2025 Regression Curves'!$D$8*'2025 Regression Curves'!$F$8)/('2025 Regression Curves'!$E$8+'2025 Regression Curves'!$F$8)),($E$7*$E$8))</f>
        <v>0.18384775771458939</v>
      </c>
      <c r="H25" s="51"/>
      <c r="I25" s="51"/>
      <c r="J25" s="51"/>
      <c r="K25" s="51"/>
      <c r="L25" s="51">
        <f>IF(IF(C25&lt;='2025 Regression Curves'!$F$13,('2025 Regression Curves'!$D$13*C25)/('2025 Regression Curves'!$E$13+C25),('2025 Regression Curves'!$D$13*'2025 Regression Curves'!$F$13)/('2025 Regression Curves'!$E$13+'2025 Regression Curves'!$F$13))&lt;=($E$7*$E$8),IF(C25&lt;='2025 Regression Curves'!$F$13,('2025 Regression Curves'!$D$13*C25)/('2025 Regression Curves'!$E$13+C25),('2025 Regression Curves'!$D$13*'2025 Regression Curves'!$F$13)/('2025 Regression Curves'!$E$13+'2025 Regression Curves'!$F$13)),($E$7*$E$8))</f>
        <v>0.13793035588843139</v>
      </c>
      <c r="M25" s="51"/>
      <c r="N25" s="51"/>
    </row>
    <row r="26" spans="2:14" s="3" customFormat="1" ht="17.45" customHeight="1" x14ac:dyDescent="0.25">
      <c r="B26" s="192"/>
      <c r="C26" s="48">
        <v>3000</v>
      </c>
      <c r="D26" s="49">
        <f>IF(IF(C26&lt;='2025 Regression Curves'!$F$5,('2025 Regression Curves'!$D$5*C26)/('2025 Regression Curves'!$E$5+C26),('2025 Regression Curves'!$D$5*'2025 Regression Curves'!$F$5)/('2025 Regression Curves'!$E$5+'2025 Regression Curves'!$F$5))&lt;=($E$7*$E$8),IF(C26&lt;='2025 Regression Curves'!$F$5,('2025 Regression Curves'!$D$5*C26)/('2025 Regression Curves'!$E$5+C26),('2025 Regression Curves'!$D$5*'2025 Regression Curves'!$F$5)/('2025 Regression Curves'!$E$5+'2025 Regression Curves'!$F$5)),($E$7*$E$8))</f>
        <v>0.19303724023842023</v>
      </c>
      <c r="E26" s="49"/>
      <c r="F26" s="49">
        <f>IF(IF(C26&lt;='2025 Regression Curves'!$F$7,('2025 Regression Curves'!$D$7*C26)/('2025 Regression Curves'!$E$7+C26),('2025 Regression Curves'!$D$7*'2025 Regression Curves'!$F$7)/('2025 Regression Curves'!$E$7+'2025 Regression Curves'!$F$7))&lt;=($E$7*$E$8),IF(C26&lt;='2025 Regression Curves'!$F$7,('2025 Regression Curves'!$D$7*C26)/('2025 Regression Curves'!$E$7+C26),('2025 Regression Curves'!$D$7*'2025 Regression Curves'!$F$7)/('2025 Regression Curves'!$E$7+'2025 Regression Curves'!$F$7)),($E$7*$E$8))</f>
        <v>0.15969274578927803</v>
      </c>
      <c r="G26" s="49">
        <f>IF(IF(C26&lt;='2025 Regression Curves'!$F$8,('2025 Regression Curves'!$D$8*C26)/('2025 Regression Curves'!$E$8+C26),('2025 Regression Curves'!$D$8*'2025 Regression Curves'!$F$8)/('2025 Regression Curves'!$E$8+'2025 Regression Curves'!$F$8))&lt;=($E$7*$E$8),IF(C26&lt;='2025 Regression Curves'!$F$8,('2025 Regression Curves'!$D$8*C26)/('2025 Regression Curves'!$E$8+C26),('2025 Regression Curves'!$D$8*'2025 Regression Curves'!$F$8)/('2025 Regression Curves'!$E$8+'2025 Regression Curves'!$F$8)),($E$7*$E$8))</f>
        <v>0.18733998043337982</v>
      </c>
      <c r="H26" s="49"/>
      <c r="I26" s="49"/>
      <c r="J26" s="49"/>
      <c r="K26" s="49"/>
      <c r="L26" s="49"/>
      <c r="M26" s="49"/>
      <c r="N26" s="49"/>
    </row>
    <row r="27" spans="2:14" s="3" customFormat="1" ht="17.45" customHeight="1" x14ac:dyDescent="0.25">
      <c r="B27" s="192"/>
      <c r="C27" s="50">
        <v>3500</v>
      </c>
      <c r="D27" s="51"/>
      <c r="E27" s="51"/>
      <c r="F27" s="51">
        <f>IF(IF(C27&lt;='2025 Regression Curves'!$F$7,('2025 Regression Curves'!$D$7*C27)/('2025 Regression Curves'!$E$7+C27),('2025 Regression Curves'!$D$7*'2025 Regression Curves'!$F$7)/('2025 Regression Curves'!$E$7+'2025 Regression Curves'!$F$7))&lt;=($E$7*$E$8),IF(C27&lt;='2025 Regression Curves'!$F$7,('2025 Regression Curves'!$D$7*C27)/('2025 Regression Curves'!$E$7+C27),('2025 Regression Curves'!$D$7*'2025 Regression Curves'!$F$7)/('2025 Regression Curves'!$E$7+'2025 Regression Curves'!$F$7)),($E$7*$E$8))</f>
        <v>0.16756901811797259</v>
      </c>
      <c r="G27" s="51"/>
      <c r="H27" s="51"/>
      <c r="I27" s="51"/>
      <c r="J27" s="51"/>
      <c r="K27" s="51"/>
      <c r="L27" s="51"/>
      <c r="M27" s="51"/>
      <c r="N27" s="51"/>
    </row>
    <row r="28" spans="2:14" s="3" customFormat="1" ht="17.45" customHeight="1" thickBot="1" x14ac:dyDescent="0.3">
      <c r="B28" s="193"/>
      <c r="C28" s="52">
        <v>4000</v>
      </c>
      <c r="D28" s="53"/>
      <c r="E28" s="53"/>
      <c r="F28" s="53">
        <f>IF(IF(C28&lt;='2025 Regression Curves'!$F$7,('2025 Regression Curves'!$D$7*C28)/('2025 Regression Curves'!$E$7+C28),('2025 Regression Curves'!$D$7*'2025 Regression Curves'!$F$7)/('2025 Regression Curves'!$E$7+'2025 Regression Curves'!$F$7))&lt;=($E$7*$E$8),IF(C28&lt;='2025 Regression Curves'!$F$7,('2025 Regression Curves'!$D$7*C28)/('2025 Regression Curves'!$E$7+C28),('2025 Regression Curves'!$D$7*'2025 Regression Curves'!$F$7)/('2025 Regression Curves'!$E$7+'2025 Regression Curves'!$F$7)),($E$7*$E$8))</f>
        <v>0.17400567273115428</v>
      </c>
      <c r="G28" s="53"/>
      <c r="H28" s="53"/>
      <c r="I28" s="53"/>
      <c r="J28" s="53"/>
      <c r="K28" s="53"/>
      <c r="L28" s="53"/>
      <c r="M28" s="53"/>
      <c r="N28" s="53"/>
    </row>
    <row r="29" spans="2:14" s="2" customFormat="1" ht="20.100000000000001" customHeight="1" x14ac:dyDescent="0.25">
      <c r="B29" s="191" t="s">
        <v>18</v>
      </c>
      <c r="C29" s="54">
        <v>250</v>
      </c>
      <c r="D29" s="47">
        <f>IF(IF(C29&lt;='2025 Regression Curves'!$F$5,('2025 Regression Curves'!$B$5*C29)/('2025 Regression Curves'!$C$5+C29),('2025 Regression Curves'!$B$5*'2025 Regression Curves'!$F$5)/('2025 Regression Curves'!$C$5+'2025 Regression Curves'!$F$5))&lt;=($E$7*$E$8/0.883),IF(C29&lt;='2025 Regression Curves'!$F$5,('2025 Regression Curves'!$B$5*C29)/('2025 Regression Curves'!$C$5+C29),('2025 Regression Curves'!$B$5*'2025 Regression Curves'!$F$5)/('2025 Regression Curves'!$C$5+'2025 Regression Curves'!$F$5)),($E$7*$E$8/0.883))</f>
        <v>7.4723326310280572E-2</v>
      </c>
      <c r="E29" s="47">
        <f>IF(IF(C29&lt;='2025 Regression Curves'!$F$6,('2025 Regression Curves'!$B$6*C29)/('2025 Regression Curves'!$C$6+C29),('2025 Regression Curves'!$B$6*'2025 Regression Curves'!$F$6)/('2025 Regression Curves'!$C$6+'2025 Regression Curves'!$F$6))&lt;=($E$7*$E$8/0.88),IF(C29&lt;='2025 Regression Curves'!$F$6,('2025 Regression Curves'!$B$6*C29)/('2025 Regression Curves'!$C$6+C29),('2025 Regression Curves'!$B$6*'2025 Regression Curves'!$F$6)/('2025 Regression Curves'!$C$6+'2025 Regression Curves'!$F$6)),($E$7*$E$8/0.88))</f>
        <v>0.11295404152932355</v>
      </c>
      <c r="F29" s="47">
        <f>IF(IF(C29&lt;='2025 Regression Curves'!$F$7,('2025 Regression Curves'!$B$7*C29)/('2025 Regression Curves'!$C$7+C29),('2025 Regression Curves'!$B$7*'2025 Regression Curves'!$F$7)/('2025 Regression Curves'!$C$7+'2025 Regression Curves'!$F$7))&lt;=($E$7*$E$8/0.88),IF(C29&lt;='2025 Regression Curves'!$F$7,('2025 Regression Curves'!$B$7*C29)/('2025 Regression Curves'!$C$7+C29),('2025 Regression Curves'!$B$7*'2025 Regression Curves'!$F$7)/('2025 Regression Curves'!$C$7+'2025 Regression Curves'!$F$7)),($E$7*$E$8/0.88))</f>
        <v>3.9364680207729305E-2</v>
      </c>
      <c r="G29" s="47">
        <f>IF(IF(C29&lt;='2025 Regression Curves'!$F$8,('2025 Regression Curves'!$B$8*C29)/('2025 Regression Curves'!$C$8+C29),('2025 Regression Curves'!$B$8*'2025 Regression Curves'!$F$8)/('2025 Regression Curves'!$C$8+'2025 Regression Curves'!$F$8))&lt;=($E$7*$E$8/0.88),IF(C29&lt;='2025 Regression Curves'!$F$8,('2025 Regression Curves'!$B$8*C29)/('2025 Regression Curves'!$C$8+C29),('2025 Regression Curves'!$B$8*'2025 Regression Curves'!$F$8)/('2025 Regression Curves'!$C$8+'2025 Regression Curves'!$F$8)),($E$7*$E$8/0.88))</f>
        <v>0.1083646282906414</v>
      </c>
      <c r="H29" s="47">
        <f>IF(IF(C29&lt;='2025 Regression Curves'!$F$9,('2025 Regression Curves'!$B$9*C29)/('2025 Regression Curves'!$C$9+C29),('2025 Regression Curves'!$B$9*'2025 Regression Curves'!$F$9)/('2025 Regression Curves'!$C$9+'2025 Regression Curves'!$F$9))&lt;=($E$7*$E$8/0.88),IF(C29&lt;='2025 Regression Curves'!$F$9,('2025 Regression Curves'!$B$9*C29)/('2025 Regression Curves'!$C$9+C29),('2025 Regression Curves'!$B$9*'2025 Regression Curves'!$F$9)/('2025 Regression Curves'!$C$9+'2025 Regression Curves'!$F$9)),($E$7*$E$8/0.88))</f>
        <v>2.203155283866913E-2</v>
      </c>
      <c r="I29" s="47">
        <f>IF(IF(C29&lt;='2025 Regression Curves'!$F$10,('2025 Regression Curves'!$B$10*C29)/('2025 Regression Curves'!$C$10+C29),('2025 Regression Curves'!$B$10*'2025 Regression Curves'!$F$10)/('2025 Regression Curves'!$C$10+'2025 Regression Curves'!$F$10))&lt;=($E$7*$E$8/0.88),IF(C29&lt;='2025 Regression Curves'!$F$10,('2025 Regression Curves'!$B$10*C29)/('2025 Regression Curves'!$C$10+C29),('2025 Regression Curves'!$B$10*'2025 Regression Curves'!$F$10)/('2025 Regression Curves'!$C$10+'2025 Regression Curves'!$F$10)),($E$7*$E$8/0.88))</f>
        <v>0.10811050264527941</v>
      </c>
      <c r="J29" s="47">
        <f>IF(IF(C29&lt;='2025 Regression Curves'!$F$11,('2025 Regression Curves'!$B$11*C29)/('2025 Regression Curves'!$C$11+C29),('2025 Regression Curves'!$B$11*'2025 Regression Curves'!$F$11)/('2025 Regression Curves'!$C$11+'2025 Regression Curves'!$F$11))&lt;=($E$7*$E$8/0.88),IF(C29&lt;='2025 Regression Curves'!$F$11,('2025 Regression Curves'!$B$11*C29)/('2025 Regression Curves'!$C$11+C29),('2025 Regression Curves'!$B$11*'2025 Regression Curves'!$F$11)/('2025 Regression Curves'!$C$11+'2025 Regression Curves'!$F$11)),($E$7*$E$8/0.88))</f>
        <v>0.10843864956504566</v>
      </c>
      <c r="K29" s="47">
        <f>IF(IF(C29&lt;='2025 Regression Curves'!$F$12,('2025 Regression Curves'!$B$12*C29)/('2025 Regression Curves'!$C$12+C29),('2025 Regression Curves'!$B$12*'2025 Regression Curves'!$F$12)/('2025 Regression Curves'!$C$12+'2025 Regression Curves'!$F$12))&lt;=($E$7*$E$8/0.88),IF(C29&lt;='2025 Regression Curves'!$F$12,('2025 Regression Curves'!$B$12*C29)/('2025 Regression Curves'!$C$12+C29),('2025 Regression Curves'!$B$12*'2025 Regression Curves'!$F$12)/('2025 Regression Curves'!$C$12+'2025 Regression Curves'!$F$12)),($E$7*$E$8/0.88))</f>
        <v>0.10464743965200822</v>
      </c>
      <c r="L29" s="47">
        <f>IF(IF(C29&lt;='2025 Regression Curves'!$F$13,('2025 Regression Curves'!$B$13*C29)/('2025 Regression Curves'!$C$13+C29),('2025 Regression Curves'!$B$13*'2025 Regression Curves'!$F$13)/('2025 Regression Curves'!$C$13+'2025 Regression Curves'!$F$13))&lt;=($E$7*$E$8/0.88),IF(C29&lt;='2025 Regression Curves'!$F$13,('2025 Regression Curves'!$B$13*C29)/('2025 Regression Curves'!$C$13+C29),('2025 Regression Curves'!$B$13*'2025 Regression Curves'!$F$13)/('2025 Regression Curves'!$C$13+'2025 Regression Curves'!$F$13)),($E$7*$E$8/0.88))</f>
        <v>7.4709681535292352E-2</v>
      </c>
      <c r="M29" s="47">
        <f>IF(IF(C29&lt;='2025 Regression Curves'!$F$14,('2025 Regression Curves'!$B$14*C29)/('2025 Regression Curves'!$C$14+C29),('2025 Regression Curves'!$B$14*'2025 Regression Curves'!$F$14)/('2025 Regression Curves'!$C$14+'2025 Regression Curves'!$F$14))&lt;=($E$7*$E$8/0.88),IF(C29&lt;='2025 Regression Curves'!$F$14,('2025 Regression Curves'!$B$14*C29)/('2025 Regression Curves'!$C$14+C29),('2025 Regression Curves'!$B$14*'2025 Regression Curves'!$F$14)/('2025 Regression Curves'!$C$14+'2025 Regression Curves'!$F$14)),($E$7*$E$8/0.88))</f>
        <v>3.4880341052223623E-2</v>
      </c>
      <c r="N29" s="47">
        <f>IF(IF(C29&lt;='2025 Regression Curves'!$F$15,('2025 Regression Curves'!$B$15*C29)/('2025 Regression Curves'!$C$15+C29),('2025 Regression Curves'!$B$15*'2025 Regression Curves'!$F$15)/('2025 Regression Curves'!$C$15+'2025 Regression Curves'!$F$15))&lt;=($E$7*$E$8/0.88),IF(C29&lt;='2025 Regression Curves'!$F$15,('2025 Regression Curves'!$B$15*C29)/('2025 Regression Curves'!$C$15+C29),('2025 Regression Curves'!$B$15*'2025 Regression Curves'!$F$15)/('2025 Regression Curves'!$C$15+'2025 Regression Curves'!$F$15)),($E$7*$E$8/0.88))</f>
        <v>0.10051003207306673</v>
      </c>
    </row>
    <row r="30" spans="2:14" s="2" customFormat="1" ht="20.100000000000001" customHeight="1" x14ac:dyDescent="0.25">
      <c r="B30" s="192"/>
      <c r="C30" s="48">
        <v>300</v>
      </c>
      <c r="D30" s="49">
        <f>IF(IF(C30&lt;='2025 Regression Curves'!$F$5,('2025 Regression Curves'!$B$5*C30)/('2025 Regression Curves'!$C$5+C30),('2025 Regression Curves'!$B$5*'2025 Regression Curves'!$F$5)/('2025 Regression Curves'!$C$5+'2025 Regression Curves'!$F$5))&lt;=($E$7*$E$8/0.883),IF(C30&lt;='2025 Regression Curves'!$F$5,('2025 Regression Curves'!$B$5*C30)/('2025 Regression Curves'!$C$5+C30),('2025 Regression Curves'!$B$5*'2025 Regression Curves'!$F$5)/('2025 Regression Curves'!$C$5+'2025 Regression Curves'!$F$5)),($E$7*$E$8/0.883))</f>
        <v>8.4881123719309337E-2</v>
      </c>
      <c r="E30" s="49">
        <f>IF(IF(C30&lt;='2025 Regression Curves'!$F$6,('2025 Regression Curves'!$B$6*C30)/('2025 Regression Curves'!$C$6+C30),('2025 Regression Curves'!$B$6*'2025 Regression Curves'!$F$6)/('2025 Regression Curves'!$C$6+'2025 Regression Curves'!$F$6))&lt;=($E$7*$E$8/0.88),IF(C30&lt;='2025 Regression Curves'!$F$6,('2025 Regression Curves'!$B$6*C30)/('2025 Regression Curves'!$C$6+C30),('2025 Regression Curves'!$B$6*'2025 Regression Curves'!$F$6)/('2025 Regression Curves'!$C$6+'2025 Regression Curves'!$F$6)),($E$7*$E$8/0.88))</f>
        <v>0.12698180053875663</v>
      </c>
      <c r="F30" s="49">
        <f>IF(IF(C30&lt;='2025 Regression Curves'!$F$7,('2025 Regression Curves'!$B$7*C30)/('2025 Regression Curves'!$C$7+C30),('2025 Regression Curves'!$B$7*'2025 Regression Curves'!$F$7)/('2025 Regression Curves'!$C$7+'2025 Regression Curves'!$F$7))&lt;=($E$7*$E$8/0.88),IF(C30&lt;='2025 Regression Curves'!$F$7,('2025 Regression Curves'!$B$7*C30)/('2025 Regression Curves'!$C$7+C30),('2025 Regression Curves'!$B$7*'2025 Regression Curves'!$F$7)/('2025 Regression Curves'!$C$7+'2025 Regression Curves'!$F$7)),($E$7*$E$8/0.88))</f>
        <v>4.590403853906587E-2</v>
      </c>
      <c r="G30" s="49">
        <f>IF(IF(C30&lt;='2025 Regression Curves'!$F$8,('2025 Regression Curves'!$B$8*C30)/('2025 Regression Curves'!$C$8+C30),('2025 Regression Curves'!$B$8*'2025 Regression Curves'!$F$8)/('2025 Regression Curves'!$C$8+'2025 Regression Curves'!$F$8))&lt;=($E$7*$E$8/0.88),IF(C30&lt;='2025 Regression Curves'!$F$8,('2025 Regression Curves'!$B$8*C30)/('2025 Regression Curves'!$C$8+C30),('2025 Regression Curves'!$B$8*'2025 Regression Curves'!$F$8)/('2025 Regression Curves'!$C$8+'2025 Regression Curves'!$F$8)),($E$7*$E$8/0.88))</f>
        <v>0.11892760111409191</v>
      </c>
      <c r="H30" s="49">
        <f>IF(IF(C30&lt;='2025 Regression Curves'!$F$9,('2025 Regression Curves'!$B$9*C30)/('2025 Regression Curves'!$C$9+C30),('2025 Regression Curves'!$B$9*'2025 Regression Curves'!$F$9)/('2025 Regression Curves'!$C$9+'2025 Regression Curves'!$F$9))&lt;=($E$7*$E$8/0.88),IF(C30&lt;='2025 Regression Curves'!$F$9,('2025 Regression Curves'!$B$9*C30)/('2025 Regression Curves'!$C$9+C30),('2025 Regression Curves'!$B$9*'2025 Regression Curves'!$F$9)/('2025 Regression Curves'!$C$9+'2025 Regression Curves'!$F$9)),($E$7*$E$8/0.88))</f>
        <v>2.6304332234625753E-2</v>
      </c>
      <c r="I30" s="49">
        <f>IF(IF(C30&lt;='2025 Regression Curves'!$F$10,('2025 Regression Curves'!$B$10*C30)/('2025 Regression Curves'!$C$10+C30),('2025 Regression Curves'!$B$10*'2025 Regression Curves'!$F$10)/('2025 Regression Curves'!$C$10+'2025 Regression Curves'!$F$10))&lt;=($E$7*$E$8/0.88),IF(C30&lt;='2025 Regression Curves'!$F$10,('2025 Regression Curves'!$B$10*C30)/('2025 Regression Curves'!$C$10+C30),('2025 Regression Curves'!$B$10*'2025 Regression Curves'!$F$10)/('2025 Regression Curves'!$C$10+'2025 Regression Curves'!$F$10)),($E$7*$E$8/0.88))</f>
        <v>0.11735476632089943</v>
      </c>
      <c r="J30" s="49">
        <f>IF(IF(C30&lt;='2025 Regression Curves'!$F$11,('2025 Regression Curves'!$B$11*C30)/('2025 Regression Curves'!$C$11+C30),('2025 Regression Curves'!$B$11*'2025 Regression Curves'!$F$11)/('2025 Regression Curves'!$C$11+'2025 Regression Curves'!$F$11))&lt;=($E$7*$E$8/0.88),IF(C30&lt;='2025 Regression Curves'!$F$11,('2025 Regression Curves'!$B$11*C30)/('2025 Regression Curves'!$C$11+C30),('2025 Regression Curves'!$B$11*'2025 Regression Curves'!$F$11)/('2025 Regression Curves'!$C$11+'2025 Regression Curves'!$F$11)),($E$7*$E$8/0.88))</f>
        <v>0.11913190859456456</v>
      </c>
      <c r="K30" s="49">
        <f>IF(IF(C30&lt;='2025 Regression Curves'!$F$12,('2025 Regression Curves'!$B$12*C30)/('2025 Regression Curves'!$C$12+C30),('2025 Regression Curves'!$B$12*'2025 Regression Curves'!$F$12)/('2025 Regression Curves'!$C$12+'2025 Regression Curves'!$F$12))&lt;=($E$7*$E$8/0.88),IF(C30&lt;='2025 Regression Curves'!$F$12,('2025 Regression Curves'!$B$12*C30)/('2025 Regression Curves'!$C$12+C30),('2025 Regression Curves'!$B$12*'2025 Regression Curves'!$F$12)/('2025 Regression Curves'!$C$12+'2025 Regression Curves'!$F$12)),($E$7*$E$8/0.88))</f>
        <v>0.11648038015487255</v>
      </c>
      <c r="L30" s="49">
        <f>IF(IF(C30&lt;='2025 Regression Curves'!$F$13,('2025 Regression Curves'!$B$13*C30)/('2025 Regression Curves'!$C$13+C30),('2025 Regression Curves'!$B$13*'2025 Regression Curves'!$F$13)/('2025 Regression Curves'!$C$13+'2025 Regression Curves'!$F$13))&lt;=($E$7*$E$8/0.88),IF(C30&lt;='2025 Regression Curves'!$F$13,('2025 Regression Curves'!$B$13*C30)/('2025 Regression Curves'!$C$13+C30),('2025 Regression Curves'!$B$13*'2025 Regression Curves'!$F$13)/('2025 Regression Curves'!$C$13+'2025 Regression Curves'!$F$13)),($E$7*$E$8/0.88))</f>
        <v>8.2708758299916821E-2</v>
      </c>
      <c r="M30" s="49">
        <f>IF(IF(C30&lt;='2025 Regression Curves'!$F$14,('2025 Regression Curves'!$B$14*C30)/('2025 Regression Curves'!$C$14+C30),('2025 Regression Curves'!$B$14*'2025 Regression Curves'!$F$14)/('2025 Regression Curves'!$C$14+'2025 Regression Curves'!$F$14))&lt;=($E$7*$E$8/0.88),IF(C30&lt;='2025 Regression Curves'!$F$14,('2025 Regression Curves'!$B$14*C30)/('2025 Regression Curves'!$C$14+C30),('2025 Regression Curves'!$B$14*'2025 Regression Curves'!$F$14)/('2025 Regression Curves'!$C$14+'2025 Regression Curves'!$F$14)),($E$7*$E$8/0.88))</f>
        <v>4.1060735671514116E-2</v>
      </c>
      <c r="N30" s="49">
        <f>IF(IF(C30&lt;='2025 Regression Curves'!$F$15,('2025 Regression Curves'!$B$15*C30)/('2025 Regression Curves'!$C$15+C30),('2025 Regression Curves'!$B$15*'2025 Regression Curves'!$F$15)/('2025 Regression Curves'!$C$15+'2025 Regression Curves'!$F$15))&lt;=($E$7*$E$8/0.88),IF(C30&lt;='2025 Regression Curves'!$F$15,('2025 Regression Curves'!$B$15*C30)/('2025 Regression Curves'!$C$15+C30),('2025 Regression Curves'!$B$15*'2025 Regression Curves'!$F$15)/('2025 Regression Curves'!$C$15+'2025 Regression Curves'!$F$15)),($E$7*$E$8/0.88))</f>
        <v>0.11063867789260606</v>
      </c>
    </row>
    <row r="31" spans="2:14" s="2" customFormat="1" ht="20.100000000000001" customHeight="1" x14ac:dyDescent="0.25">
      <c r="B31" s="192"/>
      <c r="C31" s="50">
        <v>400</v>
      </c>
      <c r="D31" s="51">
        <f>IF(IF(C31&lt;='2025 Regression Curves'!$F$5,('2025 Regression Curves'!$B$5*C31)/('2025 Regression Curves'!$C$5+C31),('2025 Regression Curves'!$B$5*'2025 Regression Curves'!$F$5)/('2025 Regression Curves'!$C$5+'2025 Regression Curves'!$F$5))&lt;=($E$7*$E$8/0.883),IF(C31&lt;='2025 Regression Curves'!$F$5,('2025 Regression Curves'!$B$5*C31)/('2025 Regression Curves'!$C$5+C31),('2025 Regression Curves'!$B$5*'2025 Regression Curves'!$F$5)/('2025 Regression Curves'!$C$5+'2025 Regression Curves'!$F$5)),($E$7*$E$8/0.883))</f>
        <v>0.10225698530972289</v>
      </c>
      <c r="E31" s="51">
        <f>IF(IF(C31&lt;='2025 Regression Curves'!$F$6,('2025 Regression Curves'!$B$6*C31)/('2025 Regression Curves'!$C$6+C31),('2025 Regression Curves'!$B$6*'2025 Regression Curves'!$F$6)/('2025 Regression Curves'!$C$6+'2025 Regression Curves'!$F$6))&lt;=($E$7*$E$8/0.88),IF(C31&lt;='2025 Regression Curves'!$F$6,('2025 Regression Curves'!$B$6*C31)/('2025 Regression Curves'!$C$6+C31),('2025 Regression Curves'!$B$6*'2025 Regression Curves'!$F$6)/('2025 Regression Curves'!$C$6+'2025 Regression Curves'!$F$6)),($E$7*$E$8/0.88))</f>
        <v>0.15031656219291673</v>
      </c>
      <c r="F31" s="51">
        <f>IF(IF(C31&lt;='2025 Regression Curves'!$F$7,('2025 Regression Curves'!$B$7*C31)/('2025 Regression Curves'!$C$7+C31),('2025 Regression Curves'!$B$7*'2025 Regression Curves'!$F$7)/('2025 Regression Curves'!$C$7+'2025 Regression Curves'!$F$7))&lt;=($E$7*$E$8/0.88),IF(C31&lt;='2025 Regression Curves'!$F$7,('2025 Regression Curves'!$B$7*C31)/('2025 Regression Curves'!$C$7+C31),('2025 Regression Curves'!$B$7*'2025 Regression Curves'!$F$7)/('2025 Regression Curves'!$C$7+'2025 Regression Curves'!$F$7)),($E$7*$E$8/0.88))</f>
        <v>5.7934269189123325E-2</v>
      </c>
      <c r="G31" s="51">
        <f>IF(IF(C31&lt;='2025 Regression Curves'!$F$8,('2025 Regression Curves'!$B$8*C31)/('2025 Regression Curves'!$C$8+C31),('2025 Regression Curves'!$B$8*'2025 Regression Curves'!$F$8)/('2025 Regression Curves'!$C$8+'2025 Regression Curves'!$F$8))&lt;=($E$7*$E$8/0.88),IF(C31&lt;='2025 Regression Curves'!$F$8,('2025 Regression Curves'!$B$8*C31)/('2025 Regression Curves'!$C$8+C31),('2025 Regression Curves'!$B$8*'2025 Regression Curves'!$F$8)/('2025 Regression Curves'!$C$8+'2025 Regression Curves'!$F$8)),($E$7*$E$8/0.88))</f>
        <v>0.135428980050494</v>
      </c>
      <c r="H31" s="51">
        <f>IF(IF(C31&lt;='2025 Regression Curves'!$F$9,('2025 Regression Curves'!$B$9*C31)/('2025 Regression Curves'!$C$9+C31),('2025 Regression Curves'!$B$9*'2025 Regression Curves'!$F$9)/('2025 Regression Curves'!$C$9+'2025 Regression Curves'!$F$9))&lt;=($E$7*$E$8/0.88),IF(C31&lt;='2025 Regression Curves'!$F$9,('2025 Regression Curves'!$B$9*C31)/('2025 Regression Curves'!$C$9+C31),('2025 Regression Curves'!$B$9*'2025 Regression Curves'!$F$9)/('2025 Regression Curves'!$C$9+'2025 Regression Curves'!$F$9)),($E$7*$E$8/0.88))</f>
        <v>3.4721701363366803E-2</v>
      </c>
      <c r="I31" s="51">
        <f>IF(IF(C31&lt;='2025 Regression Curves'!$F$10,('2025 Regression Curves'!$B$10*C31)/('2025 Regression Curves'!$C$10+C31),('2025 Regression Curves'!$B$10*'2025 Regression Curves'!$F$10)/('2025 Regression Curves'!$C$10+'2025 Regression Curves'!$F$10))&lt;=($E$7*$E$8/0.88),IF(C31&lt;='2025 Regression Curves'!$F$10,('2025 Regression Curves'!$B$10*C31)/('2025 Regression Curves'!$C$10+C31),('2025 Regression Curves'!$B$10*'2025 Regression Curves'!$F$10)/('2025 Regression Curves'!$C$10+'2025 Regression Curves'!$F$10)),($E$7*$E$8/0.88))</f>
        <v>0.13139930646805073</v>
      </c>
      <c r="J31" s="51">
        <f>IF(IF(C31&lt;='2025 Regression Curves'!$F$11,('2025 Regression Curves'!$B$11*C31)/('2025 Regression Curves'!$C$11+C31),('2025 Regression Curves'!$B$11*'2025 Regression Curves'!$F$11)/('2025 Regression Curves'!$C$11+'2025 Regression Curves'!$F$11))&lt;=($E$7*$E$8/0.88),IF(C31&lt;='2025 Regression Curves'!$F$11,('2025 Regression Curves'!$B$11*C31)/('2025 Regression Curves'!$C$11+C31),('2025 Regression Curves'!$B$11*'2025 Regression Curves'!$F$11)/('2025 Regression Curves'!$C$11+'2025 Regression Curves'!$F$11)),($E$7*$E$8/0.88))</f>
        <v>0.13588115313950513</v>
      </c>
      <c r="K31" s="51">
        <f>IF(IF(C31&lt;='2025 Regression Curves'!$F$12,('2025 Regression Curves'!$B$12*C31)/('2025 Regression Curves'!$C$12+C31),('2025 Regression Curves'!$B$12*'2025 Regression Curves'!$F$12)/('2025 Regression Curves'!$C$12+'2025 Regression Curves'!$F$12))&lt;=($E$7*$E$8/0.88),IF(C31&lt;='2025 Regression Curves'!$F$12,('2025 Regression Curves'!$B$12*C31)/('2025 Regression Curves'!$C$12+C31),('2025 Regression Curves'!$B$12*'2025 Regression Curves'!$F$12)/('2025 Regression Curves'!$C$12+'2025 Regression Curves'!$F$12)),($E$7*$E$8/0.88))</f>
        <v>0.13565413257913686</v>
      </c>
      <c r="L31" s="51">
        <f>IF(IF(C31&lt;='2025 Regression Curves'!$F$13,('2025 Regression Curves'!$B$13*C31)/('2025 Regression Curves'!$C$13+C31),('2025 Regression Curves'!$B$13*'2025 Regression Curves'!$F$13)/('2025 Regression Curves'!$C$13+'2025 Regression Curves'!$F$13))&lt;=($E$7*$E$8/0.88),IF(C31&lt;='2025 Regression Curves'!$F$13,('2025 Regression Curves'!$B$13*C31)/('2025 Regression Curves'!$C$13+C31),('2025 Regression Curves'!$B$13*'2025 Regression Curves'!$F$13)/('2025 Regression Curves'!$C$13+'2025 Regression Curves'!$F$13)),($E$7*$E$8/0.88))</f>
        <v>9.5488567523962675E-2</v>
      </c>
      <c r="M31" s="51">
        <f>IF(IF(C31&lt;='2025 Regression Curves'!$F$14,('2025 Regression Curves'!$B$14*C31)/('2025 Regression Curves'!$C$14+C31),('2025 Regression Curves'!$B$14*'2025 Regression Curves'!$F$14)/('2025 Regression Curves'!$C$14+'2025 Regression Curves'!$F$14))&lt;=($E$7*$E$8/0.88),IF(C31&lt;='2025 Regression Curves'!$F$14,('2025 Regression Curves'!$B$14*C31)/('2025 Regression Curves'!$C$14+C31),('2025 Regression Curves'!$B$14*'2025 Regression Curves'!$F$14)/('2025 Regression Curves'!$C$14+'2025 Regression Curves'!$F$14)),($E$7*$E$8/0.88))</f>
        <v>5.2742422855049903E-2</v>
      </c>
      <c r="N31" s="51">
        <f>IF(IF(C31&lt;='2025 Regression Curves'!$F$15,('2025 Regression Curves'!$B$15*C31)/('2025 Regression Curves'!$C$15+C31),('2025 Regression Curves'!$B$15*'2025 Regression Curves'!$F$15)/('2025 Regression Curves'!$C$15+'2025 Regression Curves'!$F$15))&lt;=($E$7*$E$8/0.88),IF(C31&lt;='2025 Regression Curves'!$F$15,('2025 Regression Curves'!$B$15*C31)/('2025 Regression Curves'!$C$15+C31),('2025 Regression Curves'!$B$15*'2025 Regression Curves'!$F$15)/('2025 Regression Curves'!$C$15+'2025 Regression Curves'!$F$15)),($E$7*$E$8/0.88))</f>
        <v>0.12658389517945254</v>
      </c>
    </row>
    <row r="32" spans="2:14" s="2" customFormat="1" ht="20.100000000000001" customHeight="1" x14ac:dyDescent="0.25">
      <c r="B32" s="192"/>
      <c r="C32" s="48">
        <v>500</v>
      </c>
      <c r="D32" s="49">
        <f>IF(IF(C32&lt;='2025 Regression Curves'!$F$5,('2025 Regression Curves'!$B$5*C32)/('2025 Regression Curves'!$C$5+C32),('2025 Regression Curves'!$B$5*'2025 Regression Curves'!$F$5)/('2025 Regression Curves'!$C$5+'2025 Regression Curves'!$F$5))&lt;=($E$7*$E$8/0.883),IF(C32&lt;='2025 Regression Curves'!$F$5,('2025 Regression Curves'!$B$5*C32)/('2025 Regression Curves'!$C$5+C32),('2025 Regression Curves'!$B$5*'2025 Regression Curves'!$F$5)/('2025 Regression Curves'!$C$5+'2025 Regression Curves'!$F$5)),($E$7*$E$8/0.883))</f>
        <v>0.11657534198366361</v>
      </c>
      <c r="E32" s="49">
        <f>IF(IF(C32&lt;='2025 Regression Curves'!$F$6,('2025 Regression Curves'!$B$6*C32)/('2025 Regression Curves'!$C$6+C32),('2025 Regression Curves'!$B$6*'2025 Regression Curves'!$F$6)/('2025 Regression Curves'!$C$6+'2025 Regression Curves'!$F$6))&lt;=($E$7*$E$8/0.88),IF(C32&lt;='2025 Regression Curves'!$F$6,('2025 Regression Curves'!$B$6*C32)/('2025 Regression Curves'!$C$6+C32),('2025 Regression Curves'!$B$6*'2025 Regression Curves'!$F$6)/('2025 Regression Curves'!$C$6+'2025 Regression Curves'!$F$6)),($E$7*$E$8/0.88))</f>
        <v>0.16894413446137585</v>
      </c>
      <c r="F32" s="49">
        <f>IF(IF(C32&lt;='2025 Regression Curves'!$F$7,('2025 Regression Curves'!$B$7*C32)/('2025 Regression Curves'!$C$7+C32),('2025 Regression Curves'!$B$7*'2025 Regression Curves'!$F$7)/('2025 Regression Curves'!$C$7+'2025 Regression Curves'!$F$7))&lt;=($E$7*$E$8/0.88),IF(C32&lt;='2025 Regression Curves'!$F$7,('2025 Regression Curves'!$B$7*C32)/('2025 Regression Curves'!$C$7+C32),('2025 Regression Curves'!$B$7*'2025 Regression Curves'!$F$7)/('2025 Regression Curves'!$C$7+'2025 Regression Curves'!$F$7)),($E$7*$E$8/0.88))</f>
        <v>6.8743829543713469E-2</v>
      </c>
      <c r="G32" s="49">
        <f>IF(IF(C32&lt;='2025 Regression Curves'!$F$8,('2025 Regression Curves'!$B$8*C32)/('2025 Regression Curves'!$C$8+C32),('2025 Regression Curves'!$B$8*'2025 Regression Curves'!$F$8)/('2025 Regression Curves'!$C$8+'2025 Regression Curves'!$F$8))&lt;=($E$7*$E$8/0.88),IF(C32&lt;='2025 Regression Curves'!$F$8,('2025 Regression Curves'!$B$8*C32)/('2025 Regression Curves'!$C$8+C32),('2025 Regression Curves'!$B$8*'2025 Regression Curves'!$F$8)/('2025 Regression Curves'!$C$8+'2025 Regression Curves'!$F$8)),($E$7*$E$8/0.88))</f>
        <v>0.14772741744457038</v>
      </c>
      <c r="H32" s="49">
        <f>IF(IF(C32&lt;='2025 Regression Curves'!$F$9,('2025 Regression Curves'!$B$9*C32)/('2025 Regression Curves'!$C$9+C32),('2025 Regression Curves'!$B$9*'2025 Regression Curves'!$F$9)/('2025 Regression Curves'!$C$9+'2025 Regression Curves'!$F$9))&lt;=($E$7*$E$8/0.88),IF(C32&lt;='2025 Regression Curves'!$F$9,('2025 Regression Curves'!$B$9*C32)/('2025 Regression Curves'!$C$9+C32),('2025 Regression Curves'!$B$9*'2025 Regression Curves'!$F$9)/('2025 Regression Curves'!$C$9+'2025 Regression Curves'!$F$9)),($E$7*$E$8/0.88))</f>
        <v>4.2972381828425339E-2</v>
      </c>
      <c r="I32" s="49">
        <f>IF(IF(C32&lt;='2025 Regression Curves'!$F$10,('2025 Regression Curves'!$B$10*C32)/('2025 Regression Curves'!$C$10+C32),('2025 Regression Curves'!$B$10*'2025 Regression Curves'!$F$10)/('2025 Regression Curves'!$C$10+'2025 Regression Curves'!$F$10))&lt;=($E$7*$E$8/0.88),IF(C32&lt;='2025 Regression Curves'!$F$10,('2025 Regression Curves'!$B$10*C32)/('2025 Regression Curves'!$C$10+C32),('2025 Regression Curves'!$B$10*'2025 Regression Curves'!$F$10)/('2025 Regression Curves'!$C$10+'2025 Regression Curves'!$F$10)),($E$7*$E$8/0.88))</f>
        <v>0.14156441802522471</v>
      </c>
      <c r="J32" s="49">
        <f>IF(IF(C32&lt;='2025 Regression Curves'!$F$11,('2025 Regression Curves'!$B$11*C32)/('2025 Regression Curves'!$C$11+C32),('2025 Regression Curves'!$B$11*'2025 Regression Curves'!$F$11)/('2025 Regression Curves'!$C$11+'2025 Regression Curves'!$F$11))&lt;=($E$7*$E$8/0.88),IF(C32&lt;='2025 Regression Curves'!$F$11,('2025 Regression Curves'!$B$11*C32)/('2025 Regression Curves'!$C$11+C32),('2025 Regression Curves'!$B$11*'2025 Regression Curves'!$F$11)/('2025 Regression Curves'!$C$11+'2025 Regression Curves'!$F$11)),($E$7*$E$8/0.88))</f>
        <v>0.14839962060216147</v>
      </c>
      <c r="K32" s="49">
        <f>IF(IF(C32&lt;='2025 Regression Curves'!$F$12,('2025 Regression Curves'!$B$12*C32)/('2025 Regression Curves'!$C$12+C32),('2025 Regression Curves'!$B$12*'2025 Regression Curves'!$F$12)/('2025 Regression Curves'!$C$12+'2025 Regression Curves'!$F$12))&lt;=($E$7*$E$8/0.88),IF(C32&lt;='2025 Regression Curves'!$F$12,('2025 Regression Curves'!$B$12*C32)/('2025 Regression Curves'!$C$12+C32),('2025 Regression Curves'!$B$12*'2025 Regression Curves'!$F$12)/('2025 Regression Curves'!$C$12+'2025 Regression Curves'!$F$12)),($E$7*$E$8/0.88))</f>
        <v>0.15052036237215599</v>
      </c>
      <c r="L32" s="49">
        <f>IF(IF(C32&lt;='2025 Regression Curves'!$F$13,('2025 Regression Curves'!$B$13*C32)/('2025 Regression Curves'!$C$13+C32),('2025 Regression Curves'!$B$13*'2025 Regression Curves'!$F$13)/('2025 Regression Curves'!$C$13+'2025 Regression Curves'!$F$13))&lt;=($E$7*$E$8/0.88),IF(C32&lt;='2025 Regression Curves'!$F$13,('2025 Regression Curves'!$B$13*C32)/('2025 Regression Curves'!$C$13+C32),('2025 Regression Curves'!$B$13*'2025 Regression Curves'!$F$13)/('2025 Regression Curves'!$C$13+'2025 Regression Curves'!$F$13)),($E$7*$E$8/0.88))</f>
        <v>0.10524585550098801</v>
      </c>
      <c r="M32" s="49">
        <f>IF(IF(C32&lt;='2025 Regression Curves'!$F$14,('2025 Regression Curves'!$B$14*C32)/('2025 Regression Curves'!$C$14+C32),('2025 Regression Curves'!$B$14*'2025 Regression Curves'!$F$14)/('2025 Regression Curves'!$C$14+'2025 Regression Curves'!$F$14))&lt;=($E$7*$E$8/0.88),IF(C32&lt;='2025 Regression Curves'!$F$14,('2025 Regression Curves'!$B$14*C32)/('2025 Regression Curves'!$C$14+C32),('2025 Regression Curves'!$B$14*'2025 Regression Curves'!$F$14)/('2025 Regression Curves'!$C$14+'2025 Regression Curves'!$F$14)),($E$7*$E$8/0.88))</f>
        <v>6.3598622029856014E-2</v>
      </c>
      <c r="N32" s="49">
        <f>IF(IF(C32&lt;='2025 Regression Curves'!$F$15,('2025 Regression Curves'!$B$15*C32)/('2025 Regression Curves'!$C$15+C32),('2025 Regression Curves'!$B$15*'2025 Regression Curves'!$F$15)/('2025 Regression Curves'!$C$15+'2025 Regression Curves'!$F$15))&lt;=($E$7*$E$8/0.88),IF(C32&lt;='2025 Regression Curves'!$F$15,('2025 Regression Curves'!$B$15*C32)/('2025 Regression Curves'!$C$15+C32),('2025 Regression Curves'!$B$15*'2025 Regression Curves'!$F$15)/('2025 Regression Curves'!$C$15+'2025 Regression Curves'!$F$15)),($E$7*$E$8/0.88))</f>
        <v>0.13856594807070219</v>
      </c>
    </row>
    <row r="33" spans="2:14" s="2" customFormat="1" ht="20.100000000000001" customHeight="1" x14ac:dyDescent="0.25">
      <c r="B33" s="192"/>
      <c r="C33" s="50">
        <v>600</v>
      </c>
      <c r="D33" s="51">
        <f>IF(IF(C33&lt;='2025 Regression Curves'!$F$5,('2025 Regression Curves'!$B$5*C33)/('2025 Regression Curves'!$C$5+C33),('2025 Regression Curves'!$B$5*'2025 Regression Curves'!$F$5)/('2025 Regression Curves'!$C$5+'2025 Regression Curves'!$F$5))&lt;=($E$7*$E$8/0.883),IF(C33&lt;='2025 Regression Curves'!$F$5,('2025 Regression Curves'!$B$5*C33)/('2025 Regression Curves'!$C$5+C33),('2025 Regression Curves'!$B$5*'2025 Regression Curves'!$F$5)/('2025 Regression Curves'!$C$5+'2025 Regression Curves'!$F$5)),($E$7*$E$8/0.883))</f>
        <v>0.12857794411145362</v>
      </c>
      <c r="E33" s="51">
        <f>IF(IF(C33&lt;='2025 Regression Curves'!$F$6,('2025 Regression Curves'!$B$6*C33)/('2025 Regression Curves'!$C$6+C33),('2025 Regression Curves'!$B$6*'2025 Regression Curves'!$F$6)/('2025 Regression Curves'!$C$6+'2025 Regression Curves'!$F$6))&lt;=($E$7*$E$8/0.88),IF(C33&lt;='2025 Regression Curves'!$F$6,('2025 Regression Curves'!$B$6*C33)/('2025 Regression Curves'!$C$6+C33),('2025 Regression Curves'!$B$6*'2025 Regression Curves'!$F$6)/('2025 Regression Curves'!$C$6+'2025 Regression Curves'!$F$6)),($E$7*$E$8/0.88))</f>
        <v>0.18415835052755411</v>
      </c>
      <c r="F33" s="51">
        <f>IF(IF(C33&lt;='2025 Regression Curves'!$F$7,('2025 Regression Curves'!$B$7*C33)/('2025 Regression Curves'!$C$7+C33),('2025 Regression Curves'!$B$7*'2025 Regression Curves'!$F$7)/('2025 Regression Curves'!$C$7+'2025 Regression Curves'!$F$7))&lt;=($E$7*$E$8/0.88),IF(C33&lt;='2025 Regression Curves'!$F$7,('2025 Regression Curves'!$B$7*C33)/('2025 Regression Curves'!$C$7+C33),('2025 Regression Curves'!$B$7*'2025 Regression Curves'!$F$7)/('2025 Regression Curves'!$C$7+'2025 Regression Curves'!$F$7)),($E$7*$E$8/0.88))</f>
        <v>7.8509535576987144E-2</v>
      </c>
      <c r="G33" s="51">
        <f>IF(IF(C33&lt;='2025 Regression Curves'!$F$8,('2025 Regression Curves'!$B$8*C33)/('2025 Regression Curves'!$C$8+C33),('2025 Regression Curves'!$B$8*'2025 Regression Curves'!$F$8)/('2025 Regression Curves'!$C$8+'2025 Regression Curves'!$F$8))&lt;=($E$7*$E$8/0.88),IF(C33&lt;='2025 Regression Curves'!$F$8,('2025 Regression Curves'!$B$8*C33)/('2025 Regression Curves'!$C$8+C33),('2025 Regression Curves'!$B$8*'2025 Regression Curves'!$F$8)/('2025 Regression Curves'!$C$8+'2025 Regression Curves'!$F$8)),($E$7*$E$8/0.88))</f>
        <v>0.15724726907131481</v>
      </c>
      <c r="H33" s="51">
        <f>IF(IF(C33&lt;='2025 Regression Curves'!$F$9,('2025 Regression Curves'!$B$9*C33)/('2025 Regression Curves'!$C$9+C33),('2025 Regression Curves'!$B$9*'2025 Regression Curves'!$F$9)/('2025 Regression Curves'!$C$9+'2025 Regression Curves'!$F$9))&lt;=($E$7*$E$8/0.88),IF(C33&lt;='2025 Regression Curves'!$F$9,('2025 Regression Curves'!$B$9*C33)/('2025 Regression Curves'!$C$9+C33),('2025 Regression Curves'!$B$9*'2025 Regression Curves'!$F$9)/('2025 Regression Curves'!$C$9+'2025 Regression Curves'!$F$9)),($E$7*$E$8/0.88))</f>
        <v>5.1061276473085469E-2</v>
      </c>
      <c r="I33" s="51">
        <f>IF(IF(C33&lt;='2025 Regression Curves'!$F$10,('2025 Regression Curves'!$B$10*C33)/('2025 Regression Curves'!$C$10+C33),('2025 Regression Curves'!$B$10*'2025 Regression Curves'!$F$10)/('2025 Regression Curves'!$C$10+'2025 Regression Curves'!$F$10))&lt;=($E$7*$E$8/0.88),IF(C33&lt;='2025 Regression Curves'!$F$10,('2025 Regression Curves'!$B$10*C33)/('2025 Regression Curves'!$C$10+C33),('2025 Regression Curves'!$B$10*'2025 Regression Curves'!$F$10)/('2025 Regression Curves'!$C$10+'2025 Regression Curves'!$F$10)),($E$7*$E$8/0.88))</f>
        <v>0.14926242518676003</v>
      </c>
      <c r="J33" s="51">
        <f>IF(IF(C33&lt;='2025 Regression Curves'!$F$11,('2025 Regression Curves'!$B$11*C33)/('2025 Regression Curves'!$C$11+C33),('2025 Regression Curves'!$B$11*'2025 Regression Curves'!$F$11)/('2025 Regression Curves'!$C$11+'2025 Regression Curves'!$F$11))&lt;=($E$7*$E$8/0.88),IF(C33&lt;='2025 Regression Curves'!$F$11,('2025 Regression Curves'!$B$11*C33)/('2025 Regression Curves'!$C$11+C33),('2025 Regression Curves'!$B$11*'2025 Regression Curves'!$F$11)/('2025 Regression Curves'!$C$11+'2025 Regression Curves'!$F$11)),($E$7*$E$8/0.88))</f>
        <v>0.15811056750480221</v>
      </c>
      <c r="K33" s="51">
        <f>IF(IF(C33&lt;='2025 Regression Curves'!$F$12,('2025 Regression Curves'!$B$12*C33)/('2025 Regression Curves'!$C$12+C33),('2025 Regression Curves'!$B$12*'2025 Regression Curves'!$F$12)/('2025 Regression Curves'!$C$12+'2025 Regression Curves'!$F$12))&lt;=($E$7*$E$8/0.88),IF(C33&lt;='2025 Regression Curves'!$F$12,('2025 Regression Curves'!$B$12*C33)/('2025 Regression Curves'!$C$12+C33),('2025 Regression Curves'!$B$12*'2025 Regression Curves'!$F$12)/('2025 Regression Curves'!$C$12+'2025 Regression Curves'!$F$12)),($E$7*$E$8/0.88))</f>
        <v>0.16238405647087337</v>
      </c>
      <c r="L33" s="51">
        <f>IF(IF(C33&lt;='2025 Regression Curves'!$F$13,('2025 Regression Curves'!$B$13*C33)/('2025 Regression Curves'!$C$13+C33),('2025 Regression Curves'!$B$13*'2025 Regression Curves'!$F$13)/('2025 Regression Curves'!$C$13+'2025 Regression Curves'!$F$13))&lt;=($E$7*$E$8/0.88),IF(C33&lt;='2025 Regression Curves'!$F$13,('2025 Regression Curves'!$B$13*C33)/('2025 Regression Curves'!$C$13+C33),('2025 Regression Curves'!$B$13*'2025 Regression Curves'!$F$13)/('2025 Regression Curves'!$C$13+'2025 Regression Curves'!$F$13)),($E$7*$E$8/0.88))</f>
        <v>0.112939504398613</v>
      </c>
      <c r="M33" s="51">
        <f>IF(IF(C33&lt;='2025 Regression Curves'!$F$14,('2025 Regression Curves'!$B$14*C33)/('2025 Regression Curves'!$C$14+C33),('2025 Regression Curves'!$B$14*'2025 Regression Curves'!$F$14)/('2025 Regression Curves'!$C$14+'2025 Regression Curves'!$F$14))&lt;=($E$7*$E$8/0.88),IF(C33&lt;='2025 Regression Curves'!$F$14,('2025 Regression Curves'!$B$14*C33)/('2025 Regression Curves'!$C$14+C33),('2025 Regression Curves'!$B$14*'2025 Regression Curves'!$F$14)/('2025 Regression Curves'!$C$14+'2025 Regression Curves'!$F$14)),($E$7*$E$8/0.88))</f>
        <v>7.3713846941387259E-2</v>
      </c>
      <c r="N33" s="51">
        <f>IF(IF(C33&lt;='2025 Regression Curves'!$F$15,('2025 Regression Curves'!$B$15*C33)/('2025 Regression Curves'!$C$15+C33),('2025 Regression Curves'!$B$15*'2025 Regression Curves'!$F$15)/('2025 Regression Curves'!$C$15+'2025 Regression Curves'!$F$15))&lt;=($E$7*$E$8/0.88),IF(C33&lt;='2025 Regression Curves'!$F$15,('2025 Regression Curves'!$B$15*C33)/('2025 Regression Curves'!$C$15+C33),('2025 Regression Curves'!$B$15*'2025 Regression Curves'!$F$15)/('2025 Regression Curves'!$C$15+'2025 Regression Curves'!$F$15)),($E$7*$E$8/0.88))</f>
        <v>0.14789907049081932</v>
      </c>
    </row>
    <row r="34" spans="2:14" s="2" customFormat="1" ht="20.100000000000001" customHeight="1" x14ac:dyDescent="0.25">
      <c r="B34" s="192"/>
      <c r="C34" s="48">
        <v>700</v>
      </c>
      <c r="D34" s="49">
        <f>IF(IF(C34&lt;='2025 Regression Curves'!$F$5,('2025 Regression Curves'!$B$5*C34)/('2025 Regression Curves'!$C$5+C34),('2025 Regression Curves'!$B$5*'2025 Regression Curves'!$F$5)/('2025 Regression Curves'!$C$5+'2025 Regression Curves'!$F$5))&lt;=($E$7*$E$8/0.883),IF(C34&lt;='2025 Regression Curves'!$F$5,('2025 Regression Curves'!$B$5*C34)/('2025 Regression Curves'!$C$5+C34),('2025 Regression Curves'!$B$5*'2025 Regression Curves'!$F$5)/('2025 Regression Curves'!$C$5+'2025 Regression Curves'!$F$5)),($E$7*$E$8/0.883))</f>
        <v>0.13878456147071233</v>
      </c>
      <c r="E34" s="49">
        <f>IF(IF(C34&lt;='2025 Regression Curves'!$F$6,('2025 Regression Curves'!$B$6*C34)/('2025 Regression Curves'!$C$6+C34),('2025 Regression Curves'!$B$6*'2025 Regression Curves'!$F$6)/('2025 Regression Curves'!$C$6+'2025 Regression Curves'!$F$6))&lt;=($E$7*$E$8/0.88),IF(C34&lt;='2025 Regression Curves'!$F$6,('2025 Regression Curves'!$B$6*C34)/('2025 Regression Curves'!$C$6+C34),('2025 Regression Curves'!$B$6*'2025 Regression Curves'!$F$6)/('2025 Regression Curves'!$C$6+'2025 Regression Curves'!$F$6)),($E$7*$E$8/0.88))</f>
        <v>0.19681867167120454</v>
      </c>
      <c r="F34" s="49">
        <f>IF(IF(C34&lt;='2025 Regression Curves'!$F$7,('2025 Regression Curves'!$B$7*C34)/('2025 Regression Curves'!$C$7+C34),('2025 Regression Curves'!$B$7*'2025 Regression Curves'!$F$7)/('2025 Regression Curves'!$C$7+'2025 Regression Curves'!$F$7))&lt;=($E$7*$E$8/0.88),IF(C34&lt;='2025 Regression Curves'!$F$7,('2025 Regression Curves'!$B$7*C34)/('2025 Regression Curves'!$C$7+C34),('2025 Regression Curves'!$B$7*'2025 Regression Curves'!$F$7)/('2025 Regression Curves'!$C$7+'2025 Regression Curves'!$F$7)),($E$7*$E$8/0.88))</f>
        <v>8.7375626760063857E-2</v>
      </c>
      <c r="G34" s="49">
        <f>IF(IF(C34&lt;='2025 Regression Curves'!$F$8,('2025 Regression Curves'!$B$8*C34)/('2025 Regression Curves'!$C$8+C34),('2025 Regression Curves'!$B$8*'2025 Regression Curves'!$F$8)/('2025 Regression Curves'!$C$8+'2025 Regression Curves'!$F$8))&lt;=($E$7*$E$8/0.88),IF(C34&lt;='2025 Regression Curves'!$F$8,('2025 Regression Curves'!$B$8*C34)/('2025 Regression Curves'!$C$8+C34),('2025 Regression Curves'!$B$8*'2025 Regression Curves'!$F$8)/('2025 Regression Curves'!$C$8+'2025 Regression Curves'!$F$8)),($E$7*$E$8/0.88))</f>
        <v>0.16483460714756962</v>
      </c>
      <c r="H34" s="49">
        <f>IF(IF(C34&lt;='2025 Regression Curves'!$F$9,('2025 Regression Curves'!$B$9*C34)/('2025 Regression Curves'!$C$9+C34),('2025 Regression Curves'!$B$9*'2025 Regression Curves'!$F$9)/('2025 Regression Curves'!$C$9+'2025 Regression Curves'!$F$9))&lt;=($E$7*$E$8/0.88),IF(C34&lt;='2025 Regression Curves'!$F$9,('2025 Regression Curves'!$B$9*C34)/('2025 Regression Curves'!$C$9+C34),('2025 Regression Curves'!$B$9*'2025 Regression Curves'!$F$9)/('2025 Regression Curves'!$C$9+'2025 Regression Curves'!$F$9)),($E$7*$E$8/0.88))</f>
        <v>5.8993097729892002E-2</v>
      </c>
      <c r="I34" s="49">
        <f>IF(IF(C34&lt;='2025 Regression Curves'!$F$10,('2025 Regression Curves'!$B$10*C34)/('2025 Regression Curves'!$C$10+C34),('2025 Regression Curves'!$B$10*'2025 Regression Curves'!$F$10)/('2025 Regression Curves'!$C$10+'2025 Regression Curves'!$F$10))&lt;=($E$7*$E$8/0.88),IF(C34&lt;='2025 Regression Curves'!$F$10,('2025 Regression Curves'!$B$10*C34)/('2025 Regression Curves'!$C$10+C34),('2025 Regression Curves'!$B$10*'2025 Regression Curves'!$F$10)/('2025 Regression Curves'!$C$10+'2025 Regression Curves'!$F$10)),($E$7*$E$8/0.88))</f>
        <v>0.15529429079748758</v>
      </c>
      <c r="J34" s="49">
        <f>IF(IF(C34&lt;='2025 Regression Curves'!$F$11,('2025 Regression Curves'!$B$11*C34)/('2025 Regression Curves'!$C$11+C34),('2025 Regression Curves'!$B$11*'2025 Regression Curves'!$F$11)/('2025 Regression Curves'!$C$11+'2025 Regression Curves'!$F$11))&lt;=($E$7*$E$8/0.88),IF(C34&lt;='2025 Regression Curves'!$F$11,('2025 Regression Curves'!$B$11*C34)/('2025 Regression Curves'!$C$11+C34),('2025 Regression Curves'!$B$11*'2025 Regression Curves'!$F$11)/('2025 Regression Curves'!$C$11+'2025 Regression Curves'!$F$11)),($E$7*$E$8/0.88))</f>
        <v>0.16586322988643662</v>
      </c>
      <c r="K34" s="49">
        <f>IF(IF(C34&lt;='2025 Regression Curves'!$F$12,('2025 Regression Curves'!$B$12*C34)/('2025 Regression Curves'!$C$12+C34),('2025 Regression Curves'!$B$12*'2025 Regression Curves'!$F$12)/('2025 Regression Curves'!$C$12+'2025 Regression Curves'!$F$12))&lt;=($E$7*$E$8/0.88),IF(C34&lt;='2025 Regression Curves'!$F$12,('2025 Regression Curves'!$B$12*C34)/('2025 Regression Curves'!$C$12+C34),('2025 Regression Curves'!$B$12*'2025 Regression Curves'!$F$12)/('2025 Regression Curves'!$C$12+'2025 Regression Curves'!$F$12)),($E$7*$E$8/0.88))</f>
        <v>0.17207141514063357</v>
      </c>
      <c r="L34" s="49">
        <f>IF(IF(C34&lt;='2025 Regression Curves'!$F$13,('2025 Regression Curves'!$B$13*C34)/('2025 Regression Curves'!$C$13+C34),('2025 Regression Curves'!$B$13*'2025 Regression Curves'!$F$13)/('2025 Regression Curves'!$C$13+'2025 Regression Curves'!$F$13))&lt;=($E$7*$E$8/0.88),IF(C34&lt;='2025 Regression Curves'!$F$13,('2025 Regression Curves'!$B$13*C34)/('2025 Regression Curves'!$C$13+C34),('2025 Regression Curves'!$B$13*'2025 Regression Curves'!$F$13)/('2025 Regression Curves'!$C$13+'2025 Regression Curves'!$F$13)),($E$7*$E$8/0.88))</f>
        <v>0.11916158444740486</v>
      </c>
      <c r="M34" s="49">
        <f>IF(IF(C34&lt;='2025 Regression Curves'!$F$14,('2025 Regression Curves'!$B$14*C34)/('2025 Regression Curves'!$C$14+C34),('2025 Regression Curves'!$B$14*'2025 Regression Curves'!$F$14)/('2025 Regression Curves'!$C$14+'2025 Regression Curves'!$F$14))&lt;=($E$7*$E$8/0.88),IF(C34&lt;='2025 Regression Curves'!$F$14,('2025 Regression Curves'!$B$14*C34)/('2025 Regression Curves'!$C$14+C34),('2025 Regression Curves'!$B$14*'2025 Regression Curves'!$F$14)/('2025 Regression Curves'!$C$14+'2025 Regression Curves'!$F$14)),($E$7*$E$8/0.88))</f>
        <v>8.3161455325468189E-2</v>
      </c>
      <c r="N34" s="49">
        <f>IF(IF(C34&lt;='2025 Regression Curves'!$F$15,('2025 Regression Curves'!$B$15*C34)/('2025 Regression Curves'!$C$15+C34),('2025 Regression Curves'!$B$15*'2025 Regression Curves'!$F$15)/('2025 Regression Curves'!$C$15+'2025 Regression Curves'!$F$15))&lt;=($E$7*$E$8/0.88),IF(C34&lt;='2025 Regression Curves'!$F$15,('2025 Regression Curves'!$B$15*C34)/('2025 Regression Curves'!$C$15+C34),('2025 Regression Curves'!$B$15*'2025 Regression Curves'!$F$15)/('2025 Regression Curves'!$C$15+'2025 Regression Curves'!$F$15)),($E$7*$E$8/0.88))</f>
        <v>0.15537424689276388</v>
      </c>
    </row>
    <row r="35" spans="2:14" s="2" customFormat="1" ht="20.100000000000001" customHeight="1" x14ac:dyDescent="0.25">
      <c r="B35" s="192"/>
      <c r="C35" s="50">
        <v>800</v>
      </c>
      <c r="D35" s="51">
        <f>IF(IF(C35&lt;='2025 Regression Curves'!$F$5,('2025 Regression Curves'!$B$5*C35)/('2025 Regression Curves'!$C$5+C35),('2025 Regression Curves'!$B$5*'2025 Regression Curves'!$F$5)/('2025 Regression Curves'!$C$5+'2025 Regression Curves'!$F$5))&lt;=($E$7*$E$8/0.883),IF(C35&lt;='2025 Regression Curves'!$F$5,('2025 Regression Curves'!$B$5*C35)/('2025 Regression Curves'!$C$5+C35),('2025 Regression Curves'!$B$5*'2025 Regression Curves'!$F$5)/('2025 Regression Curves'!$C$5+'2025 Regression Curves'!$F$5)),($E$7*$E$8/0.883))</f>
        <v>0.14757024204304039</v>
      </c>
      <c r="E35" s="51">
        <f>IF(IF(C35&lt;='2025 Regression Curves'!$F$6,('2025 Regression Curves'!$B$6*C35)/('2025 Regression Curves'!$C$6+C35),('2025 Regression Curves'!$B$6*'2025 Regression Curves'!$F$6)/('2025 Regression Curves'!$C$6+'2025 Regression Curves'!$F$6))&lt;=($E$7*$E$8/0.88),IF(C35&lt;='2025 Regression Curves'!$F$6,('2025 Regression Curves'!$B$6*C35)/('2025 Regression Curves'!$C$6+C35),('2025 Regression Curves'!$B$6*'2025 Regression Curves'!$F$6)/('2025 Regression Curves'!$C$6+'2025 Regression Curves'!$F$6)),($E$7*$E$8/0.88))</f>
        <v>0.20751835918020956</v>
      </c>
      <c r="F35" s="51">
        <f>IF(IF(C35&lt;='2025 Regression Curves'!$F$7,('2025 Regression Curves'!$B$7*C35)/('2025 Regression Curves'!$C$7+C35),('2025 Regression Curves'!$B$7*'2025 Regression Curves'!$F$7)/('2025 Regression Curves'!$C$7+'2025 Regression Curves'!$F$7))&lt;=($E$7*$E$8/0.88),IF(C35&lt;='2025 Regression Curves'!$F$7,('2025 Regression Curves'!$B$7*C35)/('2025 Regression Curves'!$C$7+C35),('2025 Regression Curves'!$B$7*'2025 Regression Curves'!$F$7)/('2025 Regression Curves'!$C$7+'2025 Regression Curves'!$F$7)),($E$7*$E$8/0.88))</f>
        <v>9.5460938071037379E-2</v>
      </c>
      <c r="G35" s="51">
        <f>IF(IF(C35&lt;='2025 Regression Curves'!$F$8,('2025 Regression Curves'!$B$8*C35)/('2025 Regression Curves'!$C$8+C35),('2025 Regression Curves'!$B$8*'2025 Regression Curves'!$F$8)/('2025 Regression Curves'!$C$8+'2025 Regression Curves'!$F$8))&lt;=($E$7*$E$8/0.88),IF(C35&lt;='2025 Regression Curves'!$F$8,('2025 Regression Curves'!$B$8*C35)/('2025 Regression Curves'!$C$8+C35),('2025 Regression Curves'!$B$8*'2025 Regression Curves'!$F$8)/('2025 Regression Curves'!$C$8+'2025 Regression Curves'!$F$8)),($E$7*$E$8/0.88))</f>
        <v>0.17102365397196909</v>
      </c>
      <c r="H35" s="51">
        <f>IF(IF(C35&lt;='2025 Regression Curves'!$F$9,('2025 Regression Curves'!$B$9*C35)/('2025 Regression Curves'!$C$9+C35),('2025 Regression Curves'!$B$9*'2025 Regression Curves'!$F$9)/('2025 Regression Curves'!$C$9+'2025 Regression Curves'!$F$9))&lt;=($E$7*$E$8/0.88),IF(C35&lt;='2025 Regression Curves'!$F$9,('2025 Regression Curves'!$B$9*C35)/('2025 Regression Curves'!$C$9+C35),('2025 Regression Curves'!$B$9*'2025 Regression Curves'!$F$9)/('2025 Regression Curves'!$C$9+'2025 Regression Curves'!$F$9)),($E$7*$E$8/0.88))</f>
        <v>6.6772376775444231E-2</v>
      </c>
      <c r="I35" s="51">
        <f>IF(IF(C35&lt;='2025 Regression Curves'!$F$10,('2025 Regression Curves'!$B$10*C35)/('2025 Regression Curves'!$C$10+C35),('2025 Regression Curves'!$B$10*'2025 Regression Curves'!$F$10)/('2025 Regression Curves'!$C$10+'2025 Regression Curves'!$F$10))&lt;=($E$7*$E$8/0.88),IF(C35&lt;='2025 Regression Curves'!$F$10,('2025 Regression Curves'!$B$10*C35)/('2025 Regression Curves'!$C$10+C35),('2025 Regression Curves'!$B$10*'2025 Regression Curves'!$F$10)/('2025 Regression Curves'!$C$10+'2025 Regression Curves'!$F$10)),($E$7*$E$8/0.88))</f>
        <v>0.16014811747840932</v>
      </c>
      <c r="J35" s="51">
        <f>IF(IF(C35&lt;='2025 Regression Curves'!$F$11,('2025 Regression Curves'!$B$11*C35)/('2025 Regression Curves'!$C$11+C35),('2025 Regression Curves'!$B$11*'2025 Regression Curves'!$F$11)/('2025 Regression Curves'!$C$11+'2025 Regression Curves'!$F$11))&lt;=($E$7*$E$8/0.88),IF(C35&lt;='2025 Regression Curves'!$F$11,('2025 Regression Curves'!$B$11*C35)/('2025 Regression Curves'!$C$11+C35),('2025 Regression Curves'!$B$11*'2025 Regression Curves'!$F$11)/('2025 Regression Curves'!$C$11+'2025 Regression Curves'!$F$11)),($E$7*$E$8/0.88))</f>
        <v>0.17219570591538047</v>
      </c>
      <c r="K35" s="51">
        <f>IF(IF(C35&lt;='2025 Regression Curves'!$F$12,('2025 Regression Curves'!$B$12*C35)/('2025 Regression Curves'!$C$12+C35),('2025 Regression Curves'!$B$12*'2025 Regression Curves'!$F$12)/('2025 Regression Curves'!$C$12+'2025 Regression Curves'!$F$12))&lt;=($E$7*$E$8/0.88),IF(C35&lt;='2025 Regression Curves'!$F$12,('2025 Regression Curves'!$B$12*C35)/('2025 Regression Curves'!$C$12+C35),('2025 Regression Curves'!$B$12*'2025 Regression Curves'!$F$12)/('2025 Regression Curves'!$C$12+'2025 Regression Curves'!$F$12)),($E$7*$E$8/0.88))</f>
        <v>0.18013098143659501</v>
      </c>
      <c r="L35" s="51">
        <f>IF(IF(C35&lt;='2025 Regression Curves'!$F$13,('2025 Regression Curves'!$B$13*C35)/('2025 Regression Curves'!$C$13+C35),('2025 Regression Curves'!$B$13*'2025 Regression Curves'!$F$13)/('2025 Regression Curves'!$C$13+'2025 Regression Curves'!$F$13))&lt;=($E$7*$E$8/0.88),IF(C35&lt;='2025 Regression Curves'!$F$13,('2025 Regression Curves'!$B$13*C35)/('2025 Regression Curves'!$C$13+C35),('2025 Regression Curves'!$B$13*'2025 Regression Curves'!$F$13)/('2025 Regression Curves'!$C$13+'2025 Regression Curves'!$F$13)),($E$7*$E$8/0.88))</f>
        <v>0.12429744448294794</v>
      </c>
      <c r="M35" s="51">
        <f>IF(IF(C35&lt;='2025 Regression Curves'!$F$14,('2025 Regression Curves'!$B$14*C35)/('2025 Regression Curves'!$C$14+C35),('2025 Regression Curves'!$B$14*'2025 Regression Curves'!$F$14)/('2025 Regression Curves'!$C$14+'2025 Regression Curves'!$F$14))&lt;=($E$7*$E$8/0.88),IF(C35&lt;='2025 Regression Curves'!$F$14,('2025 Regression Curves'!$B$14*C35)/('2025 Regression Curves'!$C$14+C35),('2025 Regression Curves'!$B$14*'2025 Regression Curves'!$F$14)/('2025 Regression Curves'!$C$14+'2025 Regression Curves'!$F$14)),($E$7*$E$8/0.88))</f>
        <v>9.20054308761281E-2</v>
      </c>
      <c r="N35" s="51">
        <f>IF(IF(C35&lt;='2025 Regression Curves'!$F$15,('2025 Regression Curves'!$B$15*C35)/('2025 Regression Curves'!$C$15+C35),('2025 Regression Curves'!$B$15*'2025 Regression Curves'!$F$15)/('2025 Regression Curves'!$C$15+'2025 Regression Curves'!$F$15))&lt;=($E$7*$E$8/0.88),IF(C35&lt;='2025 Regression Curves'!$F$15,('2025 Regression Curves'!$B$15*C35)/('2025 Regression Curves'!$C$15+C35),('2025 Regression Curves'!$B$15*'2025 Regression Curves'!$F$15)/('2025 Regression Curves'!$C$15+'2025 Regression Curves'!$F$15)),($E$7*$E$8/0.88))</f>
        <v>0.16149604723940431</v>
      </c>
    </row>
    <row r="36" spans="2:14" s="2" customFormat="1" ht="20.100000000000001" customHeight="1" x14ac:dyDescent="0.25">
      <c r="B36" s="192"/>
      <c r="C36" s="48">
        <v>900</v>
      </c>
      <c r="D36" s="49">
        <f>IF(IF(C36&lt;='2025 Regression Curves'!$F$5,('2025 Regression Curves'!$B$5*C36)/('2025 Regression Curves'!$C$5+C36),('2025 Regression Curves'!$B$5*'2025 Regression Curves'!$F$5)/('2025 Regression Curves'!$C$5+'2025 Regression Curves'!$F$5))&lt;=($E$7*$E$8/0.883),IF(C36&lt;='2025 Regression Curves'!$F$5,('2025 Regression Curves'!$B$5*C36)/('2025 Regression Curves'!$C$5+C36),('2025 Regression Curves'!$B$5*'2025 Regression Curves'!$F$5)/('2025 Regression Curves'!$C$5+'2025 Regression Curves'!$F$5)),($E$7*$E$8/0.883))</f>
        <v>0.15521240345593268</v>
      </c>
      <c r="E36" s="49">
        <f>IF(IF(C36&lt;='2025 Regression Curves'!$F$6,('2025 Regression Curves'!$B$6*C36)/('2025 Regression Curves'!$C$6+C36),('2025 Regression Curves'!$B$6*'2025 Regression Curves'!$F$6)/('2025 Regression Curves'!$C$6+'2025 Regression Curves'!$F$6))&lt;=($E$7*$E$8/0.88),IF(C36&lt;='2025 Regression Curves'!$F$6,('2025 Regression Curves'!$B$6*C36)/('2025 Regression Curves'!$C$6+C36),('2025 Regression Curves'!$B$6*'2025 Regression Curves'!$F$6)/('2025 Regression Curves'!$C$6+'2025 Regression Curves'!$F$6)),($E$7*$E$8/0.88))</f>
        <v>0.21668012982122273</v>
      </c>
      <c r="F36" s="49">
        <f>IF(IF(C36&lt;='2025 Regression Curves'!$F$7,('2025 Regression Curves'!$B$7*C36)/('2025 Regression Curves'!$C$7+C36),('2025 Regression Curves'!$B$7*'2025 Regression Curves'!$F$7)/('2025 Regression Curves'!$C$7+'2025 Regression Curves'!$F$7))&lt;=($E$7*$E$8/0.88),IF(C36&lt;='2025 Regression Curves'!$F$7,('2025 Regression Curves'!$B$7*C36)/('2025 Regression Curves'!$C$7+C36),('2025 Regression Curves'!$B$7*'2025 Regression Curves'!$F$7)/('2025 Regression Curves'!$C$7+'2025 Regression Curves'!$F$7)),($E$7*$E$8/0.88))</f>
        <v>0.10286425713786847</v>
      </c>
      <c r="G36" s="49">
        <f>IF(IF(C36&lt;='2025 Regression Curves'!$F$8,('2025 Regression Curves'!$B$8*C36)/('2025 Regression Curves'!$C$8+C36),('2025 Regression Curves'!$B$8*'2025 Regression Curves'!$F$8)/('2025 Regression Curves'!$C$8+'2025 Regression Curves'!$F$8))&lt;=($E$7*$E$8/0.88),IF(C36&lt;='2025 Regression Curves'!$F$8,('2025 Regression Curves'!$B$8*C36)/('2025 Regression Curves'!$C$8+C36),('2025 Regression Curves'!$B$8*'2025 Regression Curves'!$F$8)/('2025 Regression Curves'!$C$8+'2025 Regression Curves'!$F$8)),($E$7*$E$8/0.88))</f>
        <v>0.17616833863469539</v>
      </c>
      <c r="H36" s="49">
        <f>IF(IF(C36&lt;='2025 Regression Curves'!$F$9,('2025 Regression Curves'!$B$9*C36)/('2025 Regression Curves'!$C$9+C36),('2025 Regression Curves'!$B$9*'2025 Regression Curves'!$F$9)/('2025 Regression Curves'!$C$9+'2025 Regression Curves'!$F$9))&lt;=($E$7*$E$8/0.88),IF(C36&lt;='2025 Regression Curves'!$F$9,('2025 Regression Curves'!$B$9*C36)/('2025 Regression Curves'!$C$9+C36),('2025 Regression Curves'!$B$9*'2025 Regression Curves'!$F$9)/('2025 Regression Curves'!$C$9+'2025 Regression Curves'!$F$9)),($E$7*$E$8/0.88))</f>
        <v>7.4403472162034232E-2</v>
      </c>
      <c r="I36" s="49">
        <f>IF(IF(C36&lt;='2025 Regression Curves'!$F$10,('2025 Regression Curves'!$B$10*C36)/('2025 Regression Curves'!$C$10+C36),('2025 Regression Curves'!$B$10*'2025 Regression Curves'!$F$10)/('2025 Regression Curves'!$C$10+'2025 Regression Curves'!$F$10))&lt;=($E$7*$E$8/0.88),IF(C36&lt;='2025 Regression Curves'!$F$10,('2025 Regression Curves'!$B$10*C36)/('2025 Regression Curves'!$C$10+C36),('2025 Regression Curves'!$B$10*'2025 Regression Curves'!$F$10)/('2025 Regression Curves'!$C$10+'2025 Regression Curves'!$F$10)),($E$7*$E$8/0.88))</f>
        <v>0.16413831388583447</v>
      </c>
      <c r="J36" s="49">
        <f>IF(IF(C36&lt;='2025 Regression Curves'!$F$11,('2025 Regression Curves'!$B$11*C36)/('2025 Regression Curves'!$C$11+C36),('2025 Regression Curves'!$B$11*'2025 Regression Curves'!$F$11)/('2025 Regression Curves'!$C$11+'2025 Regression Curves'!$F$11))&lt;=($E$7*$E$8/0.88),IF(C36&lt;='2025 Regression Curves'!$F$11,('2025 Regression Curves'!$B$11*C36)/('2025 Regression Curves'!$C$11+C36),('2025 Regression Curves'!$B$11*'2025 Regression Curves'!$F$11)/('2025 Regression Curves'!$C$11+'2025 Regression Curves'!$F$11)),($E$7*$E$8/0.88))</f>
        <v>0.17746549072354736</v>
      </c>
      <c r="K36" s="49">
        <f>IF(IF(C36&lt;='2025 Regression Curves'!$F$12,('2025 Regression Curves'!$B$12*C36)/('2025 Regression Curves'!$C$12+C36),('2025 Regression Curves'!$B$12*'2025 Regression Curves'!$F$12)/('2025 Regression Curves'!$C$12+'2025 Regression Curves'!$F$12))&lt;=($E$7*$E$8/0.88),IF(C36&lt;='2025 Regression Curves'!$F$12,('2025 Regression Curves'!$B$12*C36)/('2025 Regression Curves'!$C$12+C36),('2025 Regression Curves'!$B$12*'2025 Regression Curves'!$F$12)/('2025 Regression Curves'!$C$12+'2025 Regression Curves'!$F$12)),($E$7*$E$8/0.88))</f>
        <v>0.18694123984204553</v>
      </c>
      <c r="L36" s="49">
        <f>IF(IF(C36&lt;='2025 Regression Curves'!$F$13,('2025 Regression Curves'!$B$13*C36)/('2025 Regression Curves'!$C$13+C36),('2025 Regression Curves'!$B$13*'2025 Regression Curves'!$F$13)/('2025 Regression Curves'!$C$13+'2025 Regression Curves'!$F$13))&lt;=($E$7*$E$8/0.88),IF(C36&lt;='2025 Regression Curves'!$F$13,('2025 Regression Curves'!$B$13*C36)/('2025 Regression Curves'!$C$13+C36),('2025 Regression Curves'!$B$13*'2025 Regression Curves'!$F$13)/('2025 Regression Curves'!$C$13+'2025 Regression Curves'!$F$13)),($E$7*$E$8/0.88))</f>
        <v>0.12860868999766384</v>
      </c>
      <c r="M36" s="49">
        <f>IF(IF(C36&lt;='2025 Regression Curves'!$F$14,('2025 Regression Curves'!$B$14*C36)/('2025 Regression Curves'!$C$14+C36),('2025 Regression Curves'!$B$14*'2025 Regression Curves'!$F$14)/('2025 Regression Curves'!$C$14+'2025 Regression Curves'!$F$14))&lt;=($E$7*$E$8/0.88),IF(C36&lt;='2025 Regression Curves'!$F$14,('2025 Regression Curves'!$B$14*C36)/('2025 Regression Curves'!$C$14+C36),('2025 Regression Curves'!$B$14*'2025 Regression Curves'!$F$14)/('2025 Regression Curves'!$C$14+'2025 Regression Curves'!$F$14)),($E$7*$E$8/0.88))</f>
        <v>0.10030183422335733</v>
      </c>
      <c r="N36" s="49">
        <f>IF(IF(C36&lt;='2025 Regression Curves'!$F$15,('2025 Regression Curves'!$B$15*C36)/('2025 Regression Curves'!$C$15+C36),('2025 Regression Curves'!$B$15*'2025 Regression Curves'!$F$15)/('2025 Regression Curves'!$C$15+'2025 Regression Curves'!$F$15))&lt;=($E$7*$E$8/0.88),IF(C36&lt;='2025 Regression Curves'!$F$15,('2025 Regression Curves'!$B$15*C36)/('2025 Regression Curves'!$C$15+C36),('2025 Regression Curves'!$B$15*'2025 Regression Curves'!$F$15)/('2025 Regression Curves'!$C$15+'2025 Regression Curves'!$F$15)),($E$7*$E$8/0.88))</f>
        <v>0.16660150364705384</v>
      </c>
    </row>
    <row r="37" spans="2:14" s="2" customFormat="1" ht="20.100000000000001" customHeight="1" x14ac:dyDescent="0.25">
      <c r="B37" s="192"/>
      <c r="C37" s="50">
        <v>1000</v>
      </c>
      <c r="D37" s="51">
        <f>IF(IF(C37&lt;='2025 Regression Curves'!$F$5,('2025 Regression Curves'!$B$5*C37)/('2025 Regression Curves'!$C$5+C37),('2025 Regression Curves'!$B$5*'2025 Regression Curves'!$F$5)/('2025 Regression Curves'!$C$5+'2025 Regression Curves'!$F$5))&lt;=($E$7*$E$8/0.883),IF(C37&lt;='2025 Regression Curves'!$F$5,('2025 Regression Curves'!$B$5*C37)/('2025 Regression Curves'!$C$5+C37),('2025 Regression Curves'!$B$5*'2025 Regression Curves'!$F$5)/('2025 Regression Curves'!$C$5+'2025 Regression Curves'!$F$5)),($E$7*$E$8/0.883))</f>
        <v>0.1619206600985944</v>
      </c>
      <c r="E37" s="51">
        <f>IF(IF(C37&lt;='2025 Regression Curves'!$F$6,('2025 Regression Curves'!$B$6*C37)/('2025 Regression Curves'!$C$6+C37),('2025 Regression Curves'!$B$6*'2025 Regression Curves'!$F$6)/('2025 Regression Curves'!$C$6+'2025 Regression Curves'!$F$6))&lt;=($E$7*$E$8/0.88),IF(C37&lt;='2025 Regression Curves'!$F$6,('2025 Regression Curves'!$B$6*C37)/('2025 Regression Curves'!$C$6+C37),('2025 Regression Curves'!$B$6*'2025 Regression Curves'!$F$6)/('2025 Regression Curves'!$C$6+'2025 Regression Curves'!$F$6)),($E$7*$E$8/0.88))</f>
        <v>0.22272727272727275</v>
      </c>
      <c r="F37" s="51">
        <f>IF(IF(C37&lt;='2025 Regression Curves'!$F$7,('2025 Regression Curves'!$B$7*C37)/('2025 Regression Curves'!$C$7+C37),('2025 Regression Curves'!$B$7*'2025 Regression Curves'!$F$7)/('2025 Regression Curves'!$C$7+'2025 Regression Curves'!$F$7))&lt;=($E$7*$E$8/0.88),IF(C37&lt;='2025 Regression Curves'!$F$7,('2025 Regression Curves'!$B$7*C37)/('2025 Regression Curves'!$C$7+C37),('2025 Regression Curves'!$B$7*'2025 Regression Curves'!$F$7)/('2025 Regression Curves'!$C$7+'2025 Regression Curves'!$F$7)),($E$7*$E$8/0.88))</f>
        <v>0.10966838062293258</v>
      </c>
      <c r="G37" s="51">
        <f>IF(IF(C37&lt;='2025 Regression Curves'!$F$8,('2025 Regression Curves'!$B$8*C37)/('2025 Regression Curves'!$C$8+C37),('2025 Regression Curves'!$B$8*'2025 Regression Curves'!$F$8)/('2025 Regression Curves'!$C$8+'2025 Regression Curves'!$F$8))&lt;=($E$7*$E$8/0.88),IF(C37&lt;='2025 Regression Curves'!$F$8,('2025 Regression Curves'!$B$8*C37)/('2025 Regression Curves'!$C$8+C37),('2025 Regression Curves'!$B$8*'2025 Regression Curves'!$F$8)/('2025 Regression Curves'!$C$8+'2025 Regression Curves'!$F$8)),($E$7*$E$8/0.88))</f>
        <v>0.18051243746255533</v>
      </c>
      <c r="H37" s="51">
        <f>IF(IF(C37&lt;='2025 Regression Curves'!$F$9,('2025 Regression Curves'!$B$9*C37)/('2025 Regression Curves'!$C$9+C37),('2025 Regression Curves'!$B$9*'2025 Regression Curves'!$F$9)/('2025 Regression Curves'!$C$9+'2025 Regression Curves'!$F$9))&lt;=($E$7*$E$8/0.88),IF(C37&lt;='2025 Regression Curves'!$F$9,('2025 Regression Curves'!$B$9*C37)/('2025 Regression Curves'!$C$9+C37),('2025 Regression Curves'!$B$9*'2025 Regression Curves'!$F$9)/('2025 Regression Curves'!$C$9+'2025 Regression Curves'!$F$9)),($E$7*$E$8/0.88))</f>
        <v>8.1890577960679306E-2</v>
      </c>
      <c r="I37" s="51">
        <f>IF(IF(C37&lt;='2025 Regression Curves'!$F$10,('2025 Regression Curves'!$B$10*C37)/('2025 Regression Curves'!$C$10+C37),('2025 Regression Curves'!$B$10*'2025 Regression Curves'!$F$10)/('2025 Regression Curves'!$C$10+'2025 Regression Curves'!$F$10))&lt;=($E$7*$E$8/0.88),IF(C37&lt;='2025 Regression Curves'!$F$10,('2025 Regression Curves'!$B$10*C37)/('2025 Regression Curves'!$C$10+C37),('2025 Regression Curves'!$B$10*'2025 Regression Curves'!$F$10)/('2025 Regression Curves'!$C$10+'2025 Regression Curves'!$F$10)),($E$7*$E$8/0.88))</f>
        <v>0.16747654511409646</v>
      </c>
      <c r="J37" s="51">
        <f>IF(IF(C37&lt;='2025 Regression Curves'!$F$11,('2025 Regression Curves'!$B$11*C37)/('2025 Regression Curves'!$C$11+C37),('2025 Regression Curves'!$B$11*'2025 Regression Curves'!$F$11)/('2025 Regression Curves'!$C$11+'2025 Regression Curves'!$F$11))&lt;=($E$7*$E$8/0.88),IF(C37&lt;='2025 Regression Curves'!$F$11,('2025 Regression Curves'!$B$11*C37)/('2025 Regression Curves'!$C$11+C37),('2025 Regression Curves'!$B$11*'2025 Regression Curves'!$F$11)/('2025 Regression Curves'!$C$11+'2025 Regression Curves'!$F$11)),($E$7*$E$8/0.88))</f>
        <v>0.18191938107155936</v>
      </c>
      <c r="K37" s="51">
        <f>IF(IF(C37&lt;='2025 Regression Curves'!$F$12,('2025 Regression Curves'!$B$12*C37)/('2025 Regression Curves'!$C$12+C37),('2025 Regression Curves'!$B$12*'2025 Regression Curves'!$F$12)/('2025 Regression Curves'!$C$12+'2025 Regression Curves'!$F$12))&lt;=($E$7*$E$8/0.88),IF(C37&lt;='2025 Regression Curves'!$F$12,('2025 Regression Curves'!$B$12*C37)/('2025 Regression Curves'!$C$12+C37),('2025 Regression Curves'!$B$12*'2025 Regression Curves'!$F$12)/('2025 Regression Curves'!$C$12+'2025 Regression Curves'!$F$12)),($E$7*$E$8/0.88))</f>
        <v>0.19277177763631592</v>
      </c>
      <c r="L37" s="51">
        <f>IF(IF(C37&lt;='2025 Regression Curves'!$F$13,('2025 Regression Curves'!$B$13*C37)/('2025 Regression Curves'!$C$13+C37),('2025 Regression Curves'!$B$13*'2025 Regression Curves'!$F$13)/('2025 Regression Curves'!$C$13+'2025 Regression Curves'!$F$13))&lt;=($E$7*$E$8/0.88),IF(C37&lt;='2025 Regression Curves'!$F$13,('2025 Regression Curves'!$B$13*C37)/('2025 Regression Curves'!$C$13+C37),('2025 Regression Curves'!$B$13*'2025 Regression Curves'!$F$13)/('2025 Regression Curves'!$C$13+'2025 Regression Curves'!$F$13)),($E$7*$E$8/0.88))</f>
        <v>0.13227916253913566</v>
      </c>
      <c r="M37" s="51">
        <f>IF(IF(C37&lt;='2025 Regression Curves'!$F$14,('2025 Regression Curves'!$B$14*C37)/('2025 Regression Curves'!$C$14+C37),('2025 Regression Curves'!$B$14*'2025 Regression Curves'!$F$14)/('2025 Regression Curves'!$C$14+'2025 Regression Curves'!$F$14))&lt;=($E$7*$E$8/0.88),IF(C37&lt;='2025 Regression Curves'!$F$14,('2025 Regression Curves'!$B$14*C37)/('2025 Regression Curves'!$C$14+C37),('2025 Regression Curves'!$B$14*'2025 Regression Curves'!$F$14)/('2025 Regression Curves'!$C$14+'2025 Regression Curves'!$F$14)),($E$7*$E$8/0.88))</f>
        <v>0.10809999249305607</v>
      </c>
      <c r="N37" s="51">
        <f>IF(IF(C37&lt;='2025 Regression Curves'!$F$15,('2025 Regression Curves'!$B$15*C37)/('2025 Regression Curves'!$C$15+C37),('2025 Regression Curves'!$B$15*'2025 Regression Curves'!$F$15)/('2025 Regression Curves'!$C$15+'2025 Regression Curves'!$F$15))&lt;=($E$7*$E$8/0.88),IF(C37&lt;='2025 Regression Curves'!$F$15,('2025 Regression Curves'!$B$15*C37)/('2025 Regression Curves'!$C$15+C37),('2025 Regression Curves'!$B$15*'2025 Regression Curves'!$F$15)/('2025 Regression Curves'!$C$15+'2025 Regression Curves'!$F$15)),($E$7*$E$8/0.88))</f>
        <v>0.17092431731831242</v>
      </c>
    </row>
    <row r="38" spans="2:14" s="2" customFormat="1" ht="20.100000000000001" customHeight="1" x14ac:dyDescent="0.25">
      <c r="B38" s="192"/>
      <c r="C38" s="48">
        <v>1250</v>
      </c>
      <c r="D38" s="49">
        <f>IF(IF(C38&lt;='2025 Regression Curves'!$F$5,('2025 Regression Curves'!$B$5*C38)/('2025 Regression Curves'!$C$5+C38),('2025 Regression Curves'!$B$5*'2025 Regression Curves'!$F$5)/('2025 Regression Curves'!$C$5+'2025 Regression Curves'!$F$5))&lt;=($E$7*$E$8/0.883),IF(C38&lt;='2025 Regression Curves'!$F$5,('2025 Regression Curves'!$B$5*C38)/('2025 Regression Curves'!$C$5+C38),('2025 Regression Curves'!$B$5*'2025 Regression Curves'!$F$5)/('2025 Regression Curves'!$C$5+'2025 Regression Curves'!$F$5)),($E$7*$E$8/0.883))</f>
        <v>0.17558003693408897</v>
      </c>
      <c r="E38" s="49">
        <f>IF(IF(C38&lt;='2025 Regression Curves'!$F$6,('2025 Regression Curves'!$B$6*C38)/('2025 Regression Curves'!$C$6+C38),('2025 Regression Curves'!$B$6*'2025 Regression Curves'!$F$6)/('2025 Regression Curves'!$C$6+'2025 Regression Curves'!$F$6))&lt;=($E$7*$E$8/0.88),IF(C38&lt;='2025 Regression Curves'!$F$6,('2025 Regression Curves'!$B$6*C38)/('2025 Regression Curves'!$C$6+C38),('2025 Regression Curves'!$B$6*'2025 Regression Curves'!$F$6)/('2025 Regression Curves'!$C$6+'2025 Regression Curves'!$F$6)),($E$7*$E$8/0.88))</f>
        <v>0.22272727272727275</v>
      </c>
      <c r="F38" s="49">
        <f>IF(IF(C38&lt;='2025 Regression Curves'!$F$7,('2025 Regression Curves'!$B$7*C38)/('2025 Regression Curves'!$C$7+C38),('2025 Regression Curves'!$B$7*'2025 Regression Curves'!$F$7)/('2025 Regression Curves'!$C$7+'2025 Regression Curves'!$F$7))&lt;=($E$7*$E$8/0.88),IF(C38&lt;='2025 Regression Curves'!$F$7,('2025 Regression Curves'!$B$7*C38)/('2025 Regression Curves'!$C$7+C38),('2025 Regression Curves'!$B$7*'2025 Regression Curves'!$F$7)/('2025 Regression Curves'!$C$7+'2025 Regression Curves'!$F$7)),($E$7*$E$8/0.88))</f>
        <v>0.12449073641920909</v>
      </c>
      <c r="G38" s="49">
        <f>IF(IF(C38&lt;='2025 Regression Curves'!$F$8,('2025 Regression Curves'!$B$8*C38)/('2025 Regression Curves'!$C$8+C38),('2025 Regression Curves'!$B$8*'2025 Regression Curves'!$F$8)/('2025 Regression Curves'!$C$8+'2025 Regression Curves'!$F$8))&lt;=($E$7*$E$8/0.88),IF(C38&lt;='2025 Regression Curves'!$F$8,('2025 Regression Curves'!$B$8*C38)/('2025 Regression Curves'!$C$8+C38),('2025 Regression Curves'!$B$8*'2025 Regression Curves'!$F$8)/('2025 Regression Curves'!$C$8+'2025 Regression Curves'!$F$8)),($E$7*$E$8/0.88))</f>
        <v>0.18889677768152002</v>
      </c>
      <c r="H38" s="49">
        <f>IF(IF(C38&lt;='2025 Regression Curves'!$F$9,('2025 Regression Curves'!$B$9*C38)/('2025 Regression Curves'!$C$9+C38),('2025 Regression Curves'!$B$9*'2025 Regression Curves'!$F$9)/('2025 Regression Curves'!$C$9+'2025 Regression Curves'!$F$9))&lt;=($E$7*$E$8/0.88),IF(C38&lt;='2025 Regression Curves'!$F$9,('2025 Regression Curves'!$B$9*C38)/('2025 Regression Curves'!$C$9+C38),('2025 Regression Curves'!$B$9*'2025 Regression Curves'!$F$9)/('2025 Regression Curves'!$C$9+'2025 Regression Curves'!$F$9)),($E$7*$E$8/0.88))</f>
        <v>0.10000451633299569</v>
      </c>
      <c r="I38" s="49">
        <f>IF(IF(C38&lt;='2025 Regression Curves'!$F$10,('2025 Regression Curves'!$B$10*C38)/('2025 Regression Curves'!$C$10+C38),('2025 Regression Curves'!$B$10*'2025 Regression Curves'!$F$10)/('2025 Regression Curves'!$C$10+'2025 Regression Curves'!$F$10))&lt;=($E$7*$E$8/0.88),IF(C38&lt;='2025 Regression Curves'!$F$10,('2025 Regression Curves'!$B$10*C38)/('2025 Regression Curves'!$C$10+C38),('2025 Regression Curves'!$B$10*'2025 Regression Curves'!$F$10)/('2025 Regression Curves'!$C$10+'2025 Regression Curves'!$F$10)),($E$7*$E$8/0.88))</f>
        <v>0.1738405429387837</v>
      </c>
      <c r="J38" s="49">
        <f>IF(IF(C38&lt;='2025 Regression Curves'!$F$11,('2025 Regression Curves'!$B$11*C38)/('2025 Regression Curves'!$C$11+C38),('2025 Regression Curves'!$B$11*'2025 Regression Curves'!$F$11)/('2025 Regression Curves'!$C$11+'2025 Regression Curves'!$F$11))&lt;=($E$7*$E$8/0.88),IF(C38&lt;='2025 Regression Curves'!$F$11,('2025 Regression Curves'!$B$11*C38)/('2025 Regression Curves'!$C$11+C38),('2025 Regression Curves'!$B$11*'2025 Regression Curves'!$F$11)/('2025 Regression Curves'!$C$11+'2025 Regression Curves'!$F$11)),($E$7*$E$8/0.88))</f>
        <v>0.19052641068997478</v>
      </c>
      <c r="K38" s="49">
        <f>IF(IF(C38&lt;='2025 Regression Curves'!$F$12,('2025 Regression Curves'!$B$12*C38)/('2025 Regression Curves'!$C$12+C38),('2025 Regression Curves'!$B$12*'2025 Regression Curves'!$F$12)/('2025 Regression Curves'!$C$12+'2025 Regression Curves'!$F$12))&lt;=($E$7*$E$8/0.88),IF(C38&lt;='2025 Regression Curves'!$F$12,('2025 Regression Curves'!$B$12*C38)/('2025 Regression Curves'!$C$12+C38),('2025 Regression Curves'!$B$12*'2025 Regression Curves'!$F$12)/('2025 Regression Curves'!$C$12+'2025 Regression Curves'!$F$12)),($E$7*$E$8/0.88))</f>
        <v>0.20423778155092687</v>
      </c>
      <c r="L38" s="49">
        <f>IF(IF(C38&lt;='2025 Regression Curves'!$F$13,('2025 Regression Curves'!$B$13*C38)/('2025 Regression Curves'!$C$13+C38),('2025 Regression Curves'!$B$13*'2025 Regression Curves'!$F$13)/('2025 Regression Curves'!$C$13+'2025 Regression Curves'!$F$13))&lt;=($E$7*$E$8/0.88),IF(C38&lt;='2025 Regression Curves'!$F$13,('2025 Regression Curves'!$B$13*C38)/('2025 Regression Curves'!$C$13+C38),('2025 Regression Curves'!$B$13*'2025 Regression Curves'!$F$13)/('2025 Regression Curves'!$C$13+'2025 Regression Curves'!$F$13)),($E$7*$E$8/0.88))</f>
        <v>0.13944256814981332</v>
      </c>
      <c r="M38" s="49">
        <f>IF(IF(C38&lt;='2025 Regression Curves'!$F$14,('2025 Regression Curves'!$B$14*C38)/('2025 Regression Curves'!$C$14+C38),('2025 Regression Curves'!$B$14*'2025 Regression Curves'!$F$14)/('2025 Regression Curves'!$C$14+'2025 Regression Curves'!$F$14))&lt;=($E$7*$E$8/0.88),IF(C38&lt;='2025 Regression Curves'!$F$14,('2025 Regression Curves'!$B$14*C38)/('2025 Regression Curves'!$C$14+C38),('2025 Regression Curves'!$B$14*'2025 Regression Curves'!$F$14)/('2025 Regression Curves'!$C$14+'2025 Regression Curves'!$F$14)),($E$7*$E$8/0.88))</f>
        <v>0.12568954681935618</v>
      </c>
      <c r="N38" s="49">
        <f>IF(IF(C38&lt;='2025 Regression Curves'!$F$15,('2025 Regression Curves'!$B$15*C38)/('2025 Regression Curves'!$C$15+C38),('2025 Regression Curves'!$B$15*'2025 Regression Curves'!$F$15)/('2025 Regression Curves'!$C$15+'2025 Regression Curves'!$F$15))&lt;=($E$7*$E$8/0.88),IF(C38&lt;='2025 Regression Curves'!$F$15,('2025 Regression Curves'!$B$15*C38)/('2025 Regression Curves'!$C$15+C38),('2025 Regression Curves'!$B$15*'2025 Regression Curves'!$F$15)/('2025 Regression Curves'!$C$15+'2025 Regression Curves'!$F$15)),($E$7*$E$8/0.88))</f>
        <v>0.17929838531753664</v>
      </c>
    </row>
    <row r="39" spans="2:14" s="2" customFormat="1" ht="20.100000000000001" customHeight="1" x14ac:dyDescent="0.25">
      <c r="B39" s="192"/>
      <c r="C39" s="50">
        <v>1500</v>
      </c>
      <c r="D39" s="51">
        <f>IF(IF(C39&lt;='2025 Regression Curves'!$F$5,('2025 Regression Curves'!$B$5*C39)/('2025 Regression Curves'!$C$5+C39),('2025 Regression Curves'!$B$5*'2025 Regression Curves'!$F$5)/('2025 Regression Curves'!$C$5+'2025 Regression Curves'!$F$5))&lt;=($E$7*$E$8/0.883),IF(C39&lt;='2025 Regression Curves'!$F$5,('2025 Regression Curves'!$B$5*C39)/('2025 Regression Curves'!$C$5+C39),('2025 Regression Curves'!$B$5*'2025 Regression Curves'!$F$5)/('2025 Regression Curves'!$C$5+'2025 Regression Curves'!$F$5)),($E$7*$E$8/0.883))</f>
        <v>0.18604289798203127</v>
      </c>
      <c r="E39" s="51">
        <f>IF(IF(C39&lt;='2025 Regression Curves'!$F$6,('2025 Regression Curves'!$B$6*C39)/('2025 Regression Curves'!$C$6+C39),('2025 Regression Curves'!$B$6*'2025 Regression Curves'!$F$6)/('2025 Regression Curves'!$C$6+'2025 Regression Curves'!$F$6))&lt;=($E$7*$E$8/0.88),IF(C39&lt;='2025 Regression Curves'!$F$6,('2025 Regression Curves'!$B$6*C39)/('2025 Regression Curves'!$C$6+C39),('2025 Regression Curves'!$B$6*'2025 Regression Curves'!$F$6)/('2025 Regression Curves'!$C$6+'2025 Regression Curves'!$F$6)),($E$7*$E$8/0.88))</f>
        <v>0.22272727272727275</v>
      </c>
      <c r="F39" s="51">
        <f>IF(IF(C39&lt;='2025 Regression Curves'!$F$7,('2025 Regression Curves'!$B$7*C39)/('2025 Regression Curves'!$C$7+C39),('2025 Regression Curves'!$B$7*'2025 Regression Curves'!$F$7)/('2025 Regression Curves'!$C$7+'2025 Regression Curves'!$F$7))&lt;=($E$7*$E$8/0.88),IF(C39&lt;='2025 Regression Curves'!$F$7,('2025 Regression Curves'!$B$7*C39)/('2025 Regression Curves'!$C$7+C39),('2025 Regression Curves'!$B$7*'2025 Regression Curves'!$F$7)/('2025 Regression Curves'!$C$7+'2025 Regression Curves'!$F$7)),($E$7*$E$8/0.88))</f>
        <v>0.13681865822800146</v>
      </c>
      <c r="G39" s="51">
        <f>IF(IF(C39&lt;='2025 Regression Curves'!$F$8,('2025 Regression Curves'!$B$8*C39)/('2025 Regression Curves'!$C$8+C39),('2025 Regression Curves'!$B$8*'2025 Regression Curves'!$F$8)/('2025 Regression Curves'!$C$8+'2025 Regression Curves'!$F$8))&lt;=($E$7*$E$8/0.88),IF(C39&lt;='2025 Regression Curves'!$F$8,('2025 Regression Curves'!$B$8*C39)/('2025 Regression Curves'!$C$8+C39),('2025 Regression Curves'!$B$8*'2025 Regression Curves'!$F$8)/('2025 Regression Curves'!$C$8+'2025 Regression Curves'!$F$8)),($E$7*$E$8/0.88))</f>
        <v>0.19493286579320313</v>
      </c>
      <c r="H39" s="51">
        <f>IF(IF(C39&lt;='2025 Regression Curves'!$F$9,('2025 Regression Curves'!$B$9*C39)/('2025 Regression Curves'!$C$9+C39),('2025 Regression Curves'!$B$9*'2025 Regression Curves'!$F$9)/('2025 Regression Curves'!$C$9+'2025 Regression Curves'!$F$9))&lt;=($E$7*$E$8/0.88),IF(C39&lt;='2025 Regression Curves'!$F$9,('2025 Regression Curves'!$B$9*C39)/('2025 Regression Curves'!$C$9+C39),('2025 Regression Curves'!$B$9*'2025 Regression Curves'!$F$9)/('2025 Regression Curves'!$C$9+'2025 Regression Curves'!$F$9)),($E$7*$E$8/0.88))</f>
        <v>0.11730247551468488</v>
      </c>
      <c r="I39" s="51">
        <f>IF(IF(C39&lt;='2025 Regression Curves'!$F$10,('2025 Regression Curves'!$B$10*C39)/('2025 Regression Curves'!$C$10+C39),('2025 Regression Curves'!$B$10*'2025 Regression Curves'!$F$10)/('2025 Regression Curves'!$C$10+'2025 Regression Curves'!$F$10))&lt;=($E$7*$E$8/0.88),IF(C39&lt;='2025 Regression Curves'!$F$10,('2025 Regression Curves'!$B$10*C39)/('2025 Regression Curves'!$C$10+C39),('2025 Regression Curves'!$B$10*'2025 Regression Curves'!$F$10)/('2025 Regression Curves'!$C$10+'2025 Regression Curves'!$F$10)),($E$7*$E$8/0.88))</f>
        <v>0.17835888940704805</v>
      </c>
      <c r="J39" s="51">
        <f>IF(IF(C39&lt;='2025 Regression Curves'!$F$11,('2025 Regression Curves'!$B$11*C39)/('2025 Regression Curves'!$C$11+C39),('2025 Regression Curves'!$B$11*'2025 Regression Curves'!$F$11)/('2025 Regression Curves'!$C$11+'2025 Regression Curves'!$F$11))&lt;=($E$7*$E$8/0.88),IF(C39&lt;='2025 Regression Curves'!$F$11,('2025 Regression Curves'!$B$11*C39)/('2025 Regression Curves'!$C$11+C39),('2025 Regression Curves'!$B$11*'2025 Regression Curves'!$F$11)/('2025 Regression Curves'!$C$11+'2025 Regression Curves'!$F$11)),($E$7*$E$8/0.88))</f>
        <v>0.19673163182330877</v>
      </c>
      <c r="K39" s="51">
        <f>IF(IF(C39&lt;='2025 Regression Curves'!$F$12,('2025 Regression Curves'!$B$12*C39)/('2025 Regression Curves'!$C$12+C39),('2025 Regression Curves'!$B$12*'2025 Regression Curves'!$F$12)/('2025 Regression Curves'!$C$12+'2025 Regression Curves'!$F$12))&lt;=($E$7*$E$8/0.88),IF(C39&lt;='2025 Regression Curves'!$F$12,('2025 Regression Curves'!$B$12*C39)/('2025 Regression Curves'!$C$12+C39),('2025 Regression Curves'!$B$12*'2025 Regression Curves'!$F$12)/('2025 Regression Curves'!$C$12+'2025 Regression Curves'!$F$12)),($E$7*$E$8/0.88))</f>
        <v>0.21267084425563884</v>
      </c>
      <c r="L39" s="51">
        <f>IF(IF(C39&lt;='2025 Regression Curves'!$F$13,('2025 Regression Curves'!$B$13*C39)/('2025 Regression Curves'!$C$13+C39),('2025 Regression Curves'!$B$13*'2025 Regression Curves'!$F$13)/('2025 Regression Curves'!$C$13+'2025 Regression Curves'!$F$13))&lt;=($E$7*$E$8/0.88),IF(C39&lt;='2025 Regression Curves'!$F$13,('2025 Regression Curves'!$B$13*C39)/('2025 Regression Curves'!$C$13+C39),('2025 Regression Curves'!$B$13*'2025 Regression Curves'!$F$13)/('2025 Regression Curves'!$C$13+'2025 Regression Curves'!$F$13)),($E$7*$E$8/0.88))</f>
        <v>0.14466534354768185</v>
      </c>
      <c r="M39" s="51">
        <f>IF(IF(C39&lt;='2025 Regression Curves'!$F$14,('2025 Regression Curves'!$B$14*C39)/('2025 Regression Curves'!$C$14+C39),('2025 Regression Curves'!$B$14*'2025 Regression Curves'!$F$14)/('2025 Regression Curves'!$C$14+'2025 Regression Curves'!$F$14))&lt;=($E$7*$E$8/0.88),IF(C39&lt;='2025 Regression Curves'!$F$14,('2025 Regression Curves'!$B$14*C39)/('2025 Regression Curves'!$C$14+C39),('2025 Regression Curves'!$B$14*'2025 Regression Curves'!$F$14)/('2025 Regression Curves'!$C$14+'2025 Regression Curves'!$F$14)),($E$7*$E$8/0.88))</f>
        <v>0.14098296455844919</v>
      </c>
      <c r="N39" s="51">
        <f>IF(IF(C39&lt;='2025 Regression Curves'!$F$15,('2025 Regression Curves'!$B$15*C39)/('2025 Regression Curves'!$C$15+C39),('2025 Regression Curves'!$B$15*'2025 Regression Curves'!$F$15)/('2025 Regression Curves'!$C$15+'2025 Regression Curves'!$F$15))&lt;=($E$7*$E$8/0.88),IF(C39&lt;='2025 Regression Curves'!$F$15,('2025 Regression Curves'!$B$15*C39)/('2025 Regression Curves'!$C$15+C39),('2025 Regression Curves'!$B$15*'2025 Regression Curves'!$F$15)/('2025 Regression Curves'!$C$15+'2025 Regression Curves'!$F$15)),($E$7*$E$8/0.88))</f>
        <v>0.18535234400065165</v>
      </c>
    </row>
    <row r="40" spans="2:14" s="2" customFormat="1" ht="20.100000000000001" customHeight="1" x14ac:dyDescent="0.25">
      <c r="B40" s="192"/>
      <c r="C40" s="48">
        <v>2000</v>
      </c>
      <c r="D40" s="49">
        <f>IF(IF(C40&lt;='2025 Regression Curves'!$F$5,('2025 Regression Curves'!$B$5*C40)/('2025 Regression Curves'!$C$5+C40),('2025 Regression Curves'!$B$5*'2025 Regression Curves'!$F$5)/('2025 Regression Curves'!$C$5+'2025 Regression Curves'!$F$5))&lt;=($E$7*$E$8/0.883),IF(C40&lt;='2025 Regression Curves'!$F$5,('2025 Regression Curves'!$B$5*C40)/('2025 Regression Curves'!$C$5+C40),('2025 Regression Curves'!$B$5*'2025 Regression Curves'!$F$5)/('2025 Regression Curves'!$C$5+'2025 Regression Curves'!$F$5)),($E$7*$E$8/0.883))</f>
        <v>0.20101615563050043</v>
      </c>
      <c r="E40" s="49">
        <f>IF(IF(C40&lt;='2025 Regression Curves'!$F$6,('2025 Regression Curves'!$B$6*C40)/('2025 Regression Curves'!$C$6+C40),('2025 Regression Curves'!$B$6*'2025 Regression Curves'!$F$6)/('2025 Regression Curves'!$C$6+'2025 Regression Curves'!$F$6))&lt;=($E$7*$E$8/0.88),IF(C40&lt;='2025 Regression Curves'!$F$6,('2025 Regression Curves'!$B$6*C40)/('2025 Regression Curves'!$C$6+C40),('2025 Regression Curves'!$B$6*'2025 Regression Curves'!$F$6)/('2025 Regression Curves'!$C$6+'2025 Regression Curves'!$F$6)),($E$7*$E$8/0.88))</f>
        <v>0.22272727272727275</v>
      </c>
      <c r="F40" s="49">
        <f>IF(IF(C40&lt;='2025 Regression Curves'!$F$7,('2025 Regression Curves'!$B$7*C40)/('2025 Regression Curves'!$C$7+C40),('2025 Regression Curves'!$B$7*'2025 Regression Curves'!$F$7)/('2025 Regression Curves'!$C$7+'2025 Regression Curves'!$F$7))&lt;=($E$7*$E$8/0.88),IF(C40&lt;='2025 Regression Curves'!$F$7,('2025 Regression Curves'!$B$7*C40)/('2025 Regression Curves'!$C$7+C40),('2025 Regression Curves'!$B$7*'2025 Regression Curves'!$F$7)/('2025 Regression Curves'!$C$7+'2025 Regression Curves'!$F$7)),($E$7*$E$8/0.88))</f>
        <v>0.15614709632662516</v>
      </c>
      <c r="G40" s="49">
        <f>IF(IF(C40&lt;='2025 Regression Curves'!$F$8,('2025 Regression Curves'!$B$8*C40)/('2025 Regression Curves'!$C$8+C40),('2025 Regression Curves'!$B$8*'2025 Regression Curves'!$F$8)/('2025 Regression Curves'!$C$8+'2025 Regression Curves'!$F$8))&lt;=($E$7*$E$8/0.88),IF(C40&lt;='2025 Regression Curves'!$F$8,('2025 Regression Curves'!$B$8*C40)/('2025 Regression Curves'!$C$8+C40),('2025 Regression Curves'!$B$8*'2025 Regression Curves'!$F$8)/('2025 Regression Curves'!$C$8+'2025 Regression Curves'!$F$8)),($E$7*$E$8/0.88))</f>
        <v>0.20304301973980737</v>
      </c>
      <c r="H40" s="49">
        <f>IF(IF(C40&lt;='2025 Regression Curves'!$F$9,('2025 Regression Curves'!$B$9*C40)/('2025 Regression Curves'!$C$9+C40),('2025 Regression Curves'!$B$9*'2025 Regression Curves'!$F$9)/('2025 Regression Curves'!$C$9+'2025 Regression Curves'!$F$9))&lt;=($E$7*$E$8/0.88),IF(C40&lt;='2025 Regression Curves'!$F$9,('2025 Regression Curves'!$B$9*C40)/('2025 Regression Curves'!$C$9+C40),('2025 Regression Curves'!$B$9*'2025 Regression Curves'!$F$9)/('2025 Regression Curves'!$C$9+'2025 Regression Curves'!$F$9)),($E$7*$E$8/0.88))</f>
        <v>0.14966149432174289</v>
      </c>
      <c r="I40" s="49">
        <f>IF(IF(C40&lt;='2025 Regression Curves'!$F$10,('2025 Regression Curves'!$B$10*C40)/('2025 Regression Curves'!$C$10+C40),('2025 Regression Curves'!$B$10*'2025 Regression Curves'!$F$10)/('2025 Regression Curves'!$C$10+'2025 Regression Curves'!$F$10))&lt;=($E$7*$E$8/0.88),IF(C40&lt;='2025 Regression Curves'!$F$10,('2025 Regression Curves'!$B$10*C40)/('2025 Regression Curves'!$C$10+C40),('2025 Regression Curves'!$B$10*'2025 Regression Curves'!$F$10)/('2025 Regression Curves'!$C$10+'2025 Regression Curves'!$F$10)),($E$7*$E$8/0.88))</f>
        <v>0.18434820768579152</v>
      </c>
      <c r="J40" s="49">
        <f>IF(IF(C40&lt;='2025 Regression Curves'!$F$11,('2025 Regression Curves'!$B$11*C40)/('2025 Regression Curves'!$C$11+C40),('2025 Regression Curves'!$B$11*'2025 Regression Curves'!$F$11)/('2025 Regression Curves'!$C$11+'2025 Regression Curves'!$F$11))&lt;=($E$7*$E$8/0.88),IF(C40&lt;='2025 Regression Curves'!$F$11,('2025 Regression Curves'!$B$11*C40)/('2025 Regression Curves'!$C$11+C40),('2025 Regression Curves'!$B$11*'2025 Regression Curves'!$F$11)/('2025 Regression Curves'!$C$11+'2025 Regression Curves'!$F$11)),($E$7*$E$8/0.88))</f>
        <v>0.20508067742947517</v>
      </c>
      <c r="K40" s="49">
        <f>IF(IF(C40&lt;='2025 Regression Curves'!$F$12,('2025 Regression Curves'!$B$12*C40)/('2025 Regression Curves'!$C$12+C40),('2025 Regression Curves'!$B$12*'2025 Regression Curves'!$F$12)/('2025 Regression Curves'!$C$12+'2025 Regression Curves'!$F$12))&lt;=($E$7*$E$8/0.88),IF(C40&lt;='2025 Regression Curves'!$F$12,('2025 Regression Curves'!$B$12*C40)/('2025 Regression Curves'!$C$12+C40),('2025 Regression Curves'!$B$12*'2025 Regression Curves'!$F$12)/('2025 Regression Curves'!$C$12+'2025 Regression Curves'!$F$12)),($E$7*$E$8/0.88))</f>
        <v>0.22272727272727275</v>
      </c>
      <c r="L40" s="49">
        <f>IF(IF(C40&lt;='2025 Regression Curves'!$F$13,('2025 Regression Curves'!$B$13*C40)/('2025 Regression Curves'!$C$13+C40),('2025 Regression Curves'!$B$13*'2025 Regression Curves'!$F$13)/('2025 Regression Curves'!$C$13+'2025 Regression Curves'!$F$13))&lt;=($E$7*$E$8/0.88),IF(C40&lt;='2025 Regression Curves'!$F$13,('2025 Regression Curves'!$B$13*C40)/('2025 Regression Curves'!$C$13+C40),('2025 Regression Curves'!$B$13*'2025 Regression Curves'!$F$13)/('2025 Regression Curves'!$C$13+'2025 Regression Curves'!$F$13)),($E$7*$E$8/0.88))</f>
        <v>0.15177100994654336</v>
      </c>
      <c r="M40" s="49">
        <f>IF(IF(C40&lt;='2025 Regression Curves'!$F$14,('2025 Regression Curves'!$B$14*C40)/('2025 Regression Curves'!$C$14+C40),('2025 Regression Curves'!$B$14*'2025 Regression Curves'!$F$14)/('2025 Regression Curves'!$C$14+'2025 Regression Curves'!$F$14))&lt;=($E$7*$E$8/0.88),IF(C40&lt;='2025 Regression Curves'!$F$14,('2025 Regression Curves'!$B$14*C40)/('2025 Regression Curves'!$C$14+C40),('2025 Regression Curves'!$B$14*'2025 Regression Curves'!$F$14)/('2025 Regression Curves'!$C$14+'2025 Regression Curves'!$F$14)),($E$7*$E$8/0.88))</f>
        <v>0.16627215518734484</v>
      </c>
      <c r="N40" s="49"/>
    </row>
    <row r="41" spans="2:14" s="2" customFormat="1" ht="20.100000000000001" customHeight="1" x14ac:dyDescent="0.25">
      <c r="B41" s="192"/>
      <c r="C41" s="50">
        <v>2500</v>
      </c>
      <c r="D41" s="51">
        <f>IF(IF(C41&lt;='2025 Regression Curves'!$F$5,('2025 Regression Curves'!$B$5*C41)/('2025 Regression Curves'!$C$5+C41),('2025 Regression Curves'!$B$5*'2025 Regression Curves'!$F$5)/('2025 Regression Curves'!$C$5+'2025 Regression Curves'!$F$5))&lt;=($E$7*$E$8/0.883),IF(C41&lt;='2025 Regression Curves'!$F$5,('2025 Regression Curves'!$B$5*C41)/('2025 Regression Curves'!$C$5+C41),('2025 Regression Curves'!$B$5*'2025 Regression Curves'!$F$5)/('2025 Regression Curves'!$C$5+'2025 Regression Curves'!$F$5)),($E$7*$E$8/0.883))</f>
        <v>0.21121569697673023</v>
      </c>
      <c r="E41" s="51"/>
      <c r="F41" s="51">
        <f>IF(IF(C41&lt;='2025 Regression Curves'!$F$7,('2025 Regression Curves'!$B$7*C41)/('2025 Regression Curves'!$C$7+C41),('2025 Regression Curves'!$B$7*'2025 Regression Curves'!$F$7)/('2025 Regression Curves'!$C$7+'2025 Regression Curves'!$F$7))&lt;=($E$7*$E$8/0.88),IF(C41&lt;='2025 Regression Curves'!$F$7,('2025 Regression Curves'!$B$7*C41)/('2025 Regression Curves'!$C$7+C41),('2025 Regression Curves'!$B$7*'2025 Regression Curves'!$F$7)/('2025 Regression Curves'!$C$7+'2025 Regression Curves'!$F$7)),($E$7*$E$8/0.88))</f>
        <v>0.17060824167494734</v>
      </c>
      <c r="G41" s="51">
        <f>IF(IF(C41&lt;='2025 Regression Curves'!$F$8,('2025 Regression Curves'!$B$8*C41)/('2025 Regression Curves'!$C$8+C41),('2025 Regression Curves'!$B$8*'2025 Regression Curves'!$F$8)/('2025 Regression Curves'!$C$8+'2025 Regression Curves'!$F$8))&lt;=($E$7*$E$8/0.88),IF(C41&lt;='2025 Regression Curves'!$F$8,('2025 Regression Curves'!$B$8*C41)/('2025 Regression Curves'!$C$8+C41),('2025 Regression Curves'!$B$8*'2025 Regression Curves'!$F$8)/('2025 Regression Curves'!$C$8+'2025 Regression Curves'!$F$8)),($E$7*$E$8/0.88))</f>
        <v>0.20824133015944823</v>
      </c>
      <c r="H41" s="51"/>
      <c r="I41" s="51"/>
      <c r="J41" s="51"/>
      <c r="K41" s="51"/>
      <c r="L41" s="51">
        <f>IF(IF(C41&lt;='2025 Regression Curves'!$F$13,('2025 Regression Curves'!$B$13*C41)/('2025 Regression Curves'!$C$13+C41),('2025 Regression Curves'!$B$13*'2025 Regression Curves'!$F$13)/('2025 Regression Curves'!$C$13+'2025 Regression Curves'!$F$13))&lt;=($E$7*$E$8/0.88),IF(C41&lt;='2025 Regression Curves'!$F$13,('2025 Regression Curves'!$B$13*C41)/('2025 Regression Curves'!$C$13+C41),('2025 Regression Curves'!$B$13*'2025 Regression Curves'!$F$13)/('2025 Regression Curves'!$C$13+'2025 Regression Curves'!$F$13)),($E$7*$E$8/0.88))</f>
        <v>0.15637963916013239</v>
      </c>
      <c r="M41" s="51"/>
      <c r="N41" s="51"/>
    </row>
    <row r="42" spans="2:14" s="2" customFormat="1" ht="20.100000000000001" customHeight="1" x14ac:dyDescent="0.25">
      <c r="B42" s="192"/>
      <c r="C42" s="48">
        <v>3000</v>
      </c>
      <c r="D42" s="49">
        <f>IF(IF(C42&lt;='2025 Regression Curves'!$F$5,('2025 Regression Curves'!$B$5*C42)/('2025 Regression Curves'!$C$5+C42),('2025 Regression Curves'!$B$5*'2025 Regression Curves'!$F$5)/('2025 Regression Curves'!$C$5+'2025 Regression Curves'!$F$5))&lt;=($E$7*$E$8/0.883),IF(C42&lt;='2025 Regression Curves'!$F$5,('2025 Regression Curves'!$B$5*C42)/('2025 Regression Curves'!$C$5+C42),('2025 Regression Curves'!$B$5*'2025 Regression Curves'!$F$5)/('2025 Regression Curves'!$C$5+'2025 Regression Curves'!$F$5)),($E$7*$E$8/0.883))</f>
        <v>0.21861054984265538</v>
      </c>
      <c r="E42" s="49"/>
      <c r="F42" s="49">
        <f>IF(IF(C42&lt;='2025 Regression Curves'!$F$7,('2025 Regression Curves'!$B$7*C42)/('2025 Regression Curves'!$C$7+C42),('2025 Regression Curves'!$B$7*'2025 Regression Curves'!$F$7)/('2025 Regression Curves'!$C$7+'2025 Regression Curves'!$F$7))&lt;=($E$7*$E$8/0.88),IF(C42&lt;='2025 Regression Curves'!$F$7,('2025 Regression Curves'!$B$7*C42)/('2025 Regression Curves'!$C$7+C42),('2025 Regression Curves'!$B$7*'2025 Regression Curves'!$F$7)/('2025 Regression Curves'!$C$7+'2025 Regression Curves'!$F$7)),($E$7*$E$8/0.88))</f>
        <v>0.18183501726426196</v>
      </c>
      <c r="G42" s="49">
        <f>IF(IF(C42&lt;='2025 Regression Curves'!$F$8,('2025 Regression Curves'!$B$8*C42)/('2025 Regression Curves'!$C$8+C42),('2025 Regression Curves'!$B$8*'2025 Regression Curves'!$F$8)/('2025 Regression Curves'!$C$8+'2025 Regression Curves'!$F$8))&lt;=($E$7*$E$8/0.88),IF(C42&lt;='2025 Regression Curves'!$F$8,('2025 Regression Curves'!$B$8*C42)/('2025 Regression Curves'!$C$8+C42),('2025 Regression Curves'!$B$8*'2025 Regression Curves'!$F$8)/('2025 Regression Curves'!$C$8+'2025 Regression Curves'!$F$8)),($E$7*$E$8/0.88))</f>
        <v>0.21185731288220308</v>
      </c>
      <c r="H42" s="49"/>
      <c r="I42" s="49"/>
      <c r="J42" s="49"/>
      <c r="K42" s="49"/>
      <c r="L42" s="49"/>
      <c r="M42" s="49"/>
      <c r="N42" s="49"/>
    </row>
    <row r="43" spans="2:14" s="2" customFormat="1" ht="20.100000000000001" customHeight="1" x14ac:dyDescent="0.25">
      <c r="B43" s="192"/>
      <c r="C43" s="50">
        <v>3500</v>
      </c>
      <c r="D43" s="50"/>
      <c r="E43" s="51"/>
      <c r="F43" s="51">
        <f>IF(IF(C43&lt;='2025 Regression Curves'!$F$7,('2025 Regression Curves'!$B$7*C43)/('2025 Regression Curves'!$C$7+C43),('2025 Regression Curves'!$B$7*'2025 Regression Curves'!$F$7)/('2025 Regression Curves'!$C$7+'2025 Regression Curves'!$F$7))&lt;=($E$7*$E$8/0.88),IF(C43&lt;='2025 Regression Curves'!$F$7,('2025 Regression Curves'!$B$7*C43)/('2025 Regression Curves'!$C$7+C43),('2025 Regression Curves'!$B$7*'2025 Regression Curves'!$F$7)/('2025 Regression Curves'!$C$7+'2025 Regression Curves'!$F$7)),($E$7*$E$8/0.88))</f>
        <v>0.19080337777298564</v>
      </c>
      <c r="G43" s="51"/>
      <c r="H43" s="51"/>
      <c r="I43" s="51"/>
      <c r="J43" s="51"/>
      <c r="K43" s="51"/>
      <c r="L43" s="51"/>
      <c r="M43" s="51"/>
      <c r="N43" s="51"/>
    </row>
    <row r="44" spans="2:14" s="2" customFormat="1" ht="20.100000000000001" customHeight="1" thickBot="1" x14ac:dyDescent="0.3">
      <c r="B44" s="193"/>
      <c r="C44" s="52">
        <v>4000</v>
      </c>
      <c r="D44" s="52"/>
      <c r="E44" s="53"/>
      <c r="F44" s="53">
        <f>IF(IF(C44&lt;='2025 Regression Curves'!$F$7,('2025 Regression Curves'!$B$7*C44)/('2025 Regression Curves'!$C$7+C44),('2025 Regression Curves'!$B$7*'2025 Regression Curves'!$F$7)/('2025 Regression Curves'!$C$7+'2025 Regression Curves'!$F$7))&lt;=($E$7*$E$8/0.88),IF(C44&lt;='2025 Regression Curves'!$F$7,('2025 Regression Curves'!$B$7*C44)/('2025 Regression Curves'!$C$7+C44),('2025 Regression Curves'!$B$7*'2025 Regression Curves'!$F$7)/('2025 Regression Curves'!$C$7+'2025 Regression Curves'!$F$7)),($E$7*$E$8/0.88))</f>
        <v>0.19813250970648238</v>
      </c>
      <c r="G44" s="53"/>
      <c r="H44" s="53"/>
      <c r="I44" s="53"/>
      <c r="J44" s="53"/>
      <c r="K44" s="53"/>
      <c r="L44" s="53"/>
      <c r="M44" s="53"/>
      <c r="N44" s="53"/>
    </row>
    <row r="45" spans="2:14" s="2" customFormat="1" ht="20.100000000000001" customHeight="1" x14ac:dyDescent="0.25">
      <c r="B45" s="20">
        <v>1</v>
      </c>
      <c r="C45" s="64" t="s">
        <v>39</v>
      </c>
      <c r="D45" s="64"/>
      <c r="E45" s="45"/>
      <c r="F45" s="45"/>
      <c r="G45" s="45"/>
      <c r="H45" s="45"/>
      <c r="I45" s="45"/>
      <c r="J45" s="45"/>
      <c r="K45" s="45"/>
      <c r="L45" s="45"/>
      <c r="M45" s="45"/>
      <c r="N45" s="45"/>
    </row>
    <row r="46" spans="2:14" s="2" customFormat="1" ht="20.100000000000001" customHeight="1" x14ac:dyDescent="0.25">
      <c r="C46" s="64" t="s">
        <v>40</v>
      </c>
      <c r="D46" s="64"/>
      <c r="E46" s="45"/>
      <c r="F46" s="45"/>
      <c r="G46" s="45"/>
      <c r="H46" s="45"/>
      <c r="I46" s="45"/>
      <c r="J46" s="45"/>
      <c r="K46" s="45"/>
      <c r="L46" s="45"/>
      <c r="M46" s="45"/>
      <c r="N46" s="45"/>
    </row>
    <row r="47" spans="2:14" s="2" customFormat="1" ht="20.100000000000001" customHeight="1" x14ac:dyDescent="0.25">
      <c r="B47" s="20">
        <v>2</v>
      </c>
      <c r="C47" s="65" t="s">
        <v>29</v>
      </c>
      <c r="D47" s="65"/>
      <c r="E47" s="45"/>
      <c r="F47" s="45"/>
      <c r="G47" s="45"/>
      <c r="H47" s="45"/>
      <c r="I47" s="45"/>
      <c r="J47" s="45"/>
      <c r="K47" s="45"/>
      <c r="L47" s="45"/>
      <c r="M47" s="45"/>
      <c r="N47" s="45"/>
    </row>
    <row r="48" spans="2:14" s="2" customFormat="1" ht="20.100000000000001" customHeight="1" x14ac:dyDescent="0.25"/>
    <row r="49" s="2" customFormat="1" ht="20.100000000000001" customHeight="1" x14ac:dyDescent="0.25"/>
    <row r="50" s="2" customFormat="1" ht="20.100000000000001" customHeight="1" x14ac:dyDescent="0.25"/>
    <row r="51" s="2" customFormat="1" ht="20.100000000000001" customHeight="1" x14ac:dyDescent="0.25"/>
    <row r="52" s="2" customFormat="1" ht="20.100000000000001" customHeight="1" x14ac:dyDescent="0.25"/>
    <row r="53" s="2" customFormat="1" ht="20.100000000000001" customHeight="1" x14ac:dyDescent="0.25"/>
    <row r="54" s="2" customFormat="1" ht="20.100000000000001" customHeight="1" x14ac:dyDescent="0.25"/>
    <row r="55" s="2" customFormat="1" ht="20.100000000000001" customHeight="1" x14ac:dyDescent="0.25"/>
    <row r="56" ht="20.100000000000001" customHeight="1" x14ac:dyDescent="0.25"/>
    <row r="57" ht="20.100000000000001" customHeight="1" x14ac:dyDescent="0.25"/>
    <row r="58" ht="20.100000000000001" customHeight="1" x14ac:dyDescent="0.25"/>
    <row r="59" ht="20.100000000000001" customHeight="1" x14ac:dyDescent="0.25"/>
  </sheetData>
  <sheetProtection sheet="1" objects="1" scenarios="1"/>
  <protectedRanges>
    <protectedRange sqref="E7:E8" name="Range1"/>
  </protectedRanges>
  <mergeCells count="5">
    <mergeCell ref="B29:B44"/>
    <mergeCell ref="B13:B28"/>
    <mergeCell ref="H6:K6"/>
    <mergeCell ref="D10:N10"/>
    <mergeCell ref="F2:N4"/>
  </mergeCell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T58"/>
  <sheetViews>
    <sheetView zoomScale="80" zoomScaleNormal="80" workbookViewId="0">
      <selection activeCell="J22" sqref="J22"/>
    </sheetView>
  </sheetViews>
  <sheetFormatPr defaultColWidth="10.875" defaultRowHeight="15.75" x14ac:dyDescent="0.25"/>
  <cols>
    <col min="1" max="1" width="1.375" style="4" customWidth="1"/>
    <col min="2" max="2" width="12.875" style="4" customWidth="1"/>
    <col min="3" max="4" width="10.875" style="4"/>
    <col min="5" max="5" width="24.5" style="4" customWidth="1"/>
    <col min="6" max="6" width="3.625" style="4" customWidth="1"/>
    <col min="7" max="7" width="28" style="4" customWidth="1"/>
    <col min="8" max="8" width="25" style="4" customWidth="1"/>
    <col min="9" max="9" width="33.625" style="4" customWidth="1"/>
    <col min="10" max="12" width="10.875" style="4"/>
    <col min="13" max="13" width="16.25" style="4" bestFit="1" customWidth="1"/>
    <col min="14" max="14" width="16.25" style="4" customWidth="1"/>
    <col min="15" max="15" width="4.875" style="4" customWidth="1"/>
    <col min="16" max="16" width="22" style="4" customWidth="1"/>
    <col min="17" max="17" width="15" style="4" customWidth="1"/>
    <col min="18" max="18" width="10.875" style="4" customWidth="1"/>
    <col min="19" max="16384" width="10.875" style="4"/>
  </cols>
  <sheetData>
    <row r="1" spans="2:11" s="1" customFormat="1" x14ac:dyDescent="0.25"/>
    <row r="2" spans="2:11" s="1" customFormat="1" ht="15.75" customHeight="1" x14ac:dyDescent="0.25">
      <c r="D2" s="4"/>
      <c r="E2" s="195" t="s">
        <v>270</v>
      </c>
      <c r="F2" s="195"/>
      <c r="G2" s="195"/>
      <c r="H2" s="195"/>
      <c r="I2" s="195"/>
      <c r="J2" s="195"/>
    </row>
    <row r="3" spans="2:11" s="1" customFormat="1" ht="31.5" customHeight="1" x14ac:dyDescent="0.25">
      <c r="D3" s="4"/>
      <c r="E3" s="195"/>
      <c r="F3" s="195"/>
      <c r="G3" s="195"/>
      <c r="H3" s="195"/>
      <c r="I3" s="195"/>
      <c r="J3" s="195"/>
    </row>
    <row r="4" spans="2:11" s="1" customFormat="1" ht="15.75" customHeight="1" x14ac:dyDescent="0.25">
      <c r="D4" s="4"/>
      <c r="E4" s="195"/>
      <c r="F4" s="195"/>
      <c r="G4" s="195"/>
      <c r="H4" s="195"/>
      <c r="I4" s="195"/>
      <c r="J4" s="195"/>
    </row>
    <row r="5" spans="2:11" s="1" customFormat="1" ht="15.75" customHeight="1" x14ac:dyDescent="0.25">
      <c r="D5" s="4"/>
      <c r="E5" s="195"/>
      <c r="F5" s="195"/>
      <c r="G5" s="195"/>
      <c r="H5" s="195"/>
      <c r="I5" s="195"/>
      <c r="J5" s="195"/>
    </row>
    <row r="6" spans="2:11" s="1" customFormat="1" ht="15.75" customHeight="1" x14ac:dyDescent="0.25">
      <c r="D6" s="4"/>
      <c r="E6" s="4"/>
      <c r="F6" s="4"/>
      <c r="G6" s="4"/>
      <c r="H6" s="4"/>
      <c r="I6" s="4"/>
    </row>
    <row r="7" spans="2:11" s="1" customFormat="1" ht="15.75" customHeight="1" x14ac:dyDescent="0.25">
      <c r="D7" s="4"/>
      <c r="E7" s="4"/>
      <c r="F7" s="4"/>
      <c r="G7" s="4"/>
      <c r="I7" s="196" t="s">
        <v>31</v>
      </c>
      <c r="J7" s="196"/>
      <c r="K7" s="4"/>
    </row>
    <row r="8" spans="2:11" s="1" customFormat="1" x14ac:dyDescent="0.25">
      <c r="D8" s="4"/>
      <c r="E8" s="4"/>
      <c r="F8" s="4"/>
      <c r="G8" s="4"/>
      <c r="H8" s="4"/>
      <c r="I8" s="4"/>
      <c r="J8" s="4"/>
      <c r="K8" s="4"/>
    </row>
    <row r="9" spans="2:11" s="1" customFormat="1" ht="18" x14ac:dyDescent="0.25">
      <c r="B9" s="198" t="s">
        <v>32</v>
      </c>
      <c r="C9" s="198"/>
      <c r="D9" s="198"/>
      <c r="E9" s="198"/>
      <c r="F9" s="4"/>
      <c r="G9" s="56">
        <v>0.25</v>
      </c>
      <c r="H9" s="29" t="s">
        <v>33</v>
      </c>
      <c r="J9" s="4"/>
      <c r="K9" s="4"/>
    </row>
    <row r="10" spans="2:11" s="1" customFormat="1" ht="18.75" x14ac:dyDescent="0.25">
      <c r="B10" s="148"/>
      <c r="C10" s="148"/>
      <c r="D10" s="148"/>
      <c r="E10" s="58" t="s">
        <v>41</v>
      </c>
      <c r="F10" s="4"/>
      <c r="G10" s="149">
        <v>0.7</v>
      </c>
      <c r="H10" s="28"/>
      <c r="I10" s="28"/>
      <c r="J10" s="4"/>
      <c r="K10" s="4"/>
    </row>
    <row r="11" spans="2:11" s="1" customFormat="1" ht="12" customHeight="1" x14ac:dyDescent="0.3">
      <c r="D11" s="28"/>
      <c r="E11" s="28"/>
      <c r="F11" s="4"/>
      <c r="G11" s="68"/>
      <c r="H11" s="28"/>
      <c r="I11" s="28"/>
      <c r="J11" s="4"/>
      <c r="K11" s="4"/>
    </row>
    <row r="12" spans="2:11" s="1" customFormat="1" ht="18" x14ac:dyDescent="0.25">
      <c r="B12" s="198" t="s">
        <v>42</v>
      </c>
      <c r="C12" s="198"/>
      <c r="D12" s="198"/>
      <c r="E12" s="198"/>
      <c r="F12" s="8"/>
      <c r="G12" s="146" t="s">
        <v>7</v>
      </c>
    </row>
    <row r="13" spans="2:11" s="1" customFormat="1" ht="18" x14ac:dyDescent="0.25">
      <c r="B13" s="198" t="s">
        <v>43</v>
      </c>
      <c r="C13" s="198"/>
      <c r="D13" s="198"/>
      <c r="E13" s="198"/>
      <c r="F13" s="8"/>
      <c r="G13" s="150">
        <v>2500</v>
      </c>
      <c r="H13" s="29" t="s">
        <v>44</v>
      </c>
    </row>
    <row r="14" spans="2:11" s="1" customFormat="1" ht="18.75" x14ac:dyDescent="0.3">
      <c r="B14" s="148"/>
      <c r="C14" s="148"/>
      <c r="D14" s="148"/>
      <c r="G14" s="55"/>
    </row>
    <row r="15" spans="2:11" ht="18" x14ac:dyDescent="0.25">
      <c r="B15" s="66"/>
      <c r="C15" s="66"/>
      <c r="D15" s="66"/>
      <c r="E15" s="147" t="s">
        <v>45</v>
      </c>
      <c r="F15" s="27"/>
      <c r="G15" s="151">
        <f>VLOOKUP(G12,'2025 Regression Curves'!$A$5:$H$15,6,FALSE)</f>
        <v>3000</v>
      </c>
      <c r="H15" s="29" t="s">
        <v>46</v>
      </c>
      <c r="I15" s="28"/>
    </row>
    <row r="16" spans="2:11" ht="18" x14ac:dyDescent="0.25">
      <c r="B16" s="66"/>
      <c r="C16" s="66"/>
      <c r="D16" s="66"/>
      <c r="E16" s="147"/>
      <c r="F16" s="27"/>
      <c r="G16" s="2"/>
      <c r="H16" s="29"/>
      <c r="I16" s="28"/>
    </row>
    <row r="17" spans="2:20" s="2" customFormat="1" ht="22.5" customHeight="1" x14ac:dyDescent="0.25">
      <c r="B17" s="198" t="s">
        <v>47</v>
      </c>
      <c r="C17" s="198"/>
      <c r="D17" s="198"/>
      <c r="E17" s="198"/>
      <c r="F17" s="8"/>
      <c r="G17" s="146">
        <v>1000</v>
      </c>
      <c r="H17" s="29" t="s">
        <v>36</v>
      </c>
      <c r="I17" s="70"/>
    </row>
    <row r="18" spans="2:20" s="2" customFormat="1" ht="22.5" customHeight="1" x14ac:dyDescent="0.25">
      <c r="B18" s="148"/>
      <c r="C18" s="148"/>
      <c r="D18" s="148"/>
      <c r="E18" s="148"/>
      <c r="F18" s="15"/>
      <c r="G18" s="151">
        <f>G17/2.2046</f>
        <v>453.59702440351987</v>
      </c>
      <c r="H18" s="29" t="s">
        <v>48</v>
      </c>
      <c r="I18" s="70"/>
    </row>
    <row r="19" spans="2:20" s="2" customFormat="1" ht="20.25" customHeight="1" x14ac:dyDescent="0.25">
      <c r="B19" s="67"/>
      <c r="C19" s="67"/>
      <c r="D19" s="67"/>
      <c r="E19" s="67"/>
      <c r="F19" s="5"/>
      <c r="G19" s="5"/>
      <c r="H19" s="29"/>
      <c r="I19" s="70"/>
    </row>
    <row r="20" spans="2:20" s="2" customFormat="1" ht="24" customHeight="1" x14ac:dyDescent="0.25">
      <c r="B20" s="197" t="s">
        <v>49</v>
      </c>
      <c r="C20" s="197"/>
      <c r="D20" s="197"/>
      <c r="E20" s="197"/>
      <c r="F20" s="27"/>
      <c r="G20" s="73">
        <f>(G17/G13)*907.194</f>
        <v>362.87760000000003</v>
      </c>
      <c r="H20" s="6"/>
      <c r="I20" s="29"/>
    </row>
    <row r="21" spans="2:20" s="2" customFormat="1" ht="24" customHeight="1" x14ac:dyDescent="0.25">
      <c r="B21" s="197" t="s">
        <v>50</v>
      </c>
      <c r="C21" s="197"/>
      <c r="D21" s="197"/>
      <c r="E21" s="197"/>
      <c r="F21" s="27"/>
      <c r="G21" s="74">
        <f>G20/453.592</f>
        <v>0.8000088184976808</v>
      </c>
      <c r="H21" s="29"/>
      <c r="I21" s="29"/>
    </row>
    <row r="22" spans="2:20" s="2" customFormat="1" ht="15.75" customHeight="1" x14ac:dyDescent="0.25">
      <c r="B22" s="147"/>
      <c r="C22" s="147"/>
      <c r="D22" s="147"/>
      <c r="E22" s="147"/>
      <c r="F22" s="27"/>
      <c r="H22" s="29"/>
      <c r="I22" s="29"/>
    </row>
    <row r="23" spans="2:20" s="2" customFormat="1" ht="18.75" x14ac:dyDescent="0.25">
      <c r="B23" s="147"/>
      <c r="C23" s="147"/>
      <c r="D23" s="147"/>
      <c r="E23" s="147" t="s">
        <v>51</v>
      </c>
      <c r="F23" s="27"/>
      <c r="G23" s="74">
        <f>G9*G10</f>
        <v>0.17499999999999999</v>
      </c>
      <c r="H23" s="29"/>
      <c r="I23" s="29"/>
    </row>
    <row r="24" spans="2:20" s="2" customFormat="1" ht="18.75" x14ac:dyDescent="0.25">
      <c r="B24" s="147"/>
      <c r="C24" s="147"/>
      <c r="D24" s="147"/>
      <c r="E24" s="147" t="s">
        <v>52</v>
      </c>
      <c r="F24" s="27"/>
      <c r="G24" s="74">
        <f>G23/0.88</f>
        <v>0.19886363636363635</v>
      </c>
      <c r="H24" s="29"/>
      <c r="I24" s="29"/>
      <c r="M24" s="3"/>
      <c r="N24" s="3"/>
      <c r="O24" s="3"/>
      <c r="P24" s="3"/>
      <c r="Q24" s="3"/>
      <c r="R24" s="3"/>
      <c r="S24" s="3"/>
      <c r="T24" s="3"/>
    </row>
    <row r="25" spans="2:20" s="2" customFormat="1" ht="18" x14ac:dyDescent="0.25">
      <c r="B25" s="147"/>
      <c r="C25" s="147"/>
      <c r="D25" s="147"/>
      <c r="E25" s="147"/>
      <c r="F25" s="27"/>
      <c r="G25" s="27"/>
      <c r="H25" s="29"/>
      <c r="I25" s="29"/>
      <c r="M25" s="3"/>
      <c r="N25" s="3"/>
      <c r="O25" s="3"/>
      <c r="P25" s="3"/>
      <c r="Q25" s="3"/>
      <c r="R25" s="3"/>
      <c r="S25" s="3"/>
      <c r="T25" s="3"/>
    </row>
    <row r="26" spans="2:20" s="2" customFormat="1" ht="24" customHeight="1" x14ac:dyDescent="0.25">
      <c r="B26" s="57"/>
      <c r="C26" s="57"/>
      <c r="D26" s="57"/>
      <c r="E26" s="57"/>
      <c r="F26" s="3"/>
      <c r="H26" s="6" t="s">
        <v>53</v>
      </c>
      <c r="I26" s="6" t="s">
        <v>54</v>
      </c>
      <c r="M26" s="3"/>
      <c r="N26" s="16"/>
      <c r="O26" s="3"/>
      <c r="P26" s="3"/>
      <c r="Q26" s="3"/>
      <c r="R26" s="3"/>
      <c r="S26" s="3"/>
      <c r="T26" s="3"/>
    </row>
    <row r="27" spans="2:20" s="2" customFormat="1" ht="24" customHeight="1" x14ac:dyDescent="0.25">
      <c r="B27" s="197" t="s">
        <v>55</v>
      </c>
      <c r="C27" s="197"/>
      <c r="D27" s="197"/>
      <c r="E27" s="197"/>
      <c r="F27" s="27"/>
      <c r="G27" s="69">
        <f>IF(((VLOOKUP(G12,'2025 Regression Curves'!$A$5:$H$15,4,FALSE)*G17)/(VLOOKUP(G12,'2025 Regression Curves'!$A$5:$H$15,5,FALSE)+G17))&gt;G23,G23,IF(G17&lt;=VLOOKUP(G12,'2025 Regression Curves'!$A$5:$H$15,6,FALSE),((VLOOKUP(G12,'2025 Regression Curves'!$A$5:$H$15,4,FALSE)*G17)/(VLOOKUP(G12,'2025 Regression Curves'!$A$5:$H$15,5,FALSE)+G17)),((VLOOKUP(G12,'2025 Regression Curves'!$A$5:$H$15,4,FALSE)*VLOOKUP(G12,'2025 Regression Curves'!$A$5:$H$15,6,FALSE))/(VLOOKUP(G12,'2025 Regression Curves'!$A$5:$H$15,5,FALSE)+(VLOOKUP(G12,'2025 Regression Curves'!$A$5:$H$15,6,FALSE))))))</f>
        <v>0.14297899797385316</v>
      </c>
      <c r="H27" s="71" t="str">
        <f>IF(G27=G23,"Max release of Phytate P"," ")</f>
        <v xml:space="preserve"> </v>
      </c>
      <c r="I27" s="72" t="str">
        <f>IF(G17&gt;VLOOKUP(G12,'2025 Regression Curves'!$A$5:$H$15,6,FALSE),"Upper limit of phytase release data"," ")</f>
        <v xml:space="preserve"> </v>
      </c>
      <c r="M27" s="3"/>
      <c r="N27" s="16"/>
      <c r="O27" s="3"/>
      <c r="P27" s="3"/>
      <c r="Q27" s="3"/>
      <c r="R27" s="3"/>
      <c r="S27" s="3"/>
      <c r="T27" s="3"/>
    </row>
    <row r="28" spans="2:20" s="2" customFormat="1" ht="24" customHeight="1" x14ac:dyDescent="0.25">
      <c r="B28" s="197" t="s">
        <v>18</v>
      </c>
      <c r="C28" s="197"/>
      <c r="D28" s="197"/>
      <c r="E28" s="197"/>
      <c r="F28" s="27"/>
      <c r="G28" s="69">
        <f>IF(((VLOOKUP(G12,'2025 Regression Curves'!$A$5:$H$15,2,FALSE)*G17)/(VLOOKUP(G12,'2025 Regression Curves'!$A$5:$H$15,3,FALSE)+G17))&gt;G24,G24,IF(G17&lt;=VLOOKUP(G12,'2025 Regression Curves'!$A$5:$H$15,6,FALSE),((VLOOKUP(G12,'2025 Regression Curves'!$A$5:$H$15,2,FALSE)*G17)/(VLOOKUP(G12,'2025 Regression Curves'!$A$5:$H$15,3,FALSE)+G17)),((VLOOKUP(G12,'2025 Regression Curves'!$A$5:$H$15,2,FALSE)*VLOOKUP(G12,'2025 Regression Curves'!$A$5:$H$15,6,FALSE))/(VLOOKUP(G12,'2025 Regression Curves'!$A$5:$H$15,3,FALSE)+(VLOOKUP(G12,'2025 Regression Curves'!$A$5:$H$15,6,FALSE))))))</f>
        <v>0.1619206600985944</v>
      </c>
      <c r="H28" s="71" t="str">
        <f>IF(G28=G24,"Max release of Phytate P"," ")</f>
        <v xml:space="preserve"> </v>
      </c>
      <c r="I28" s="72" t="str">
        <f>IF(G17&gt;VLOOKUP(G12,'2025 Regression Curves'!$A$5:$H$15,6,FALSE),"Upper limit of phytase release data"," ")</f>
        <v xml:space="preserve"> </v>
      </c>
      <c r="M28" s="3"/>
      <c r="N28" s="16"/>
      <c r="O28" s="3"/>
      <c r="P28" s="27"/>
      <c r="Q28" s="3"/>
      <c r="R28" s="3"/>
      <c r="S28" s="3"/>
      <c r="T28" s="3"/>
    </row>
    <row r="29" spans="2:20" s="2" customFormat="1" ht="24" customHeight="1" x14ac:dyDescent="0.25">
      <c r="M29" s="3"/>
      <c r="N29" s="16"/>
      <c r="O29" s="3"/>
      <c r="P29" s="27"/>
      <c r="Q29" s="3"/>
      <c r="R29" s="3"/>
      <c r="S29" s="3"/>
      <c r="T29" s="3"/>
    </row>
    <row r="30" spans="2:20" s="2" customFormat="1" ht="24" customHeight="1" x14ac:dyDescent="0.25">
      <c r="F30" s="20">
        <v>1</v>
      </c>
      <c r="G30" s="25" t="s">
        <v>39</v>
      </c>
      <c r="M30" s="3"/>
      <c r="N30" s="3"/>
      <c r="O30" s="3"/>
      <c r="P30" s="3"/>
      <c r="Q30" s="3"/>
      <c r="R30" s="3"/>
      <c r="S30" s="3"/>
      <c r="T30" s="3"/>
    </row>
    <row r="31" spans="2:20" s="2" customFormat="1" ht="24" customHeight="1" x14ac:dyDescent="0.25">
      <c r="G31" s="25" t="s">
        <v>40</v>
      </c>
      <c r="M31" s="3"/>
      <c r="N31" s="3"/>
      <c r="O31" s="3"/>
      <c r="P31" s="3"/>
      <c r="Q31" s="3"/>
      <c r="R31" s="3"/>
      <c r="S31" s="3"/>
      <c r="T31" s="3"/>
    </row>
    <row r="32" spans="2:20" s="2" customFormat="1" ht="18" x14ac:dyDescent="0.25">
      <c r="F32" s="20">
        <v>2</v>
      </c>
      <c r="G32" s="25" t="s">
        <v>56</v>
      </c>
    </row>
    <row r="33" s="2" customFormat="1" ht="18" x14ac:dyDescent="0.25"/>
    <row r="34" s="2" customFormat="1" ht="18" x14ac:dyDescent="0.25"/>
    <row r="35" s="2" customFormat="1" ht="18" customHeight="1" x14ac:dyDescent="0.25"/>
    <row r="36" s="2" customFormat="1" ht="18" x14ac:dyDescent="0.25"/>
    <row r="37" s="2" customFormat="1" ht="18" x14ac:dyDescent="0.25"/>
    <row r="38" s="2" customFormat="1" ht="18" x14ac:dyDescent="0.25"/>
    <row r="39" s="2" customFormat="1" ht="18" x14ac:dyDescent="0.25"/>
    <row r="40" s="2" customFormat="1" ht="18" x14ac:dyDescent="0.25"/>
    <row r="41" s="2" customFormat="1" ht="18" x14ac:dyDescent="0.25"/>
    <row r="42" s="2" customFormat="1" ht="18" x14ac:dyDescent="0.25"/>
    <row r="43" s="2" customFormat="1" ht="18" x14ac:dyDescent="0.25"/>
    <row r="44" s="2" customFormat="1" ht="18" x14ac:dyDescent="0.25"/>
    <row r="45" s="2" customFormat="1" ht="18" x14ac:dyDescent="0.25"/>
    <row r="46" s="2" customFormat="1" ht="18" x14ac:dyDescent="0.25"/>
    <row r="47" s="2" customFormat="1" ht="18" x14ac:dyDescent="0.25"/>
    <row r="48" s="2" customFormat="1" ht="18" x14ac:dyDescent="0.25"/>
    <row r="49" spans="2:7" s="2" customFormat="1" ht="18" x14ac:dyDescent="0.25"/>
    <row r="50" spans="2:7" s="2" customFormat="1" ht="18" x14ac:dyDescent="0.25"/>
    <row r="51" spans="2:7" s="2" customFormat="1" ht="18" x14ac:dyDescent="0.25"/>
    <row r="52" spans="2:7" s="2" customFormat="1" ht="18" x14ac:dyDescent="0.25"/>
    <row r="53" spans="2:7" s="2" customFormat="1" ht="18" x14ac:dyDescent="0.25"/>
    <row r="54" spans="2:7" s="2" customFormat="1" ht="18" x14ac:dyDescent="0.25"/>
    <row r="55" spans="2:7" s="2" customFormat="1" ht="18" x14ac:dyDescent="0.25"/>
    <row r="56" spans="2:7" s="2" customFormat="1" ht="18" x14ac:dyDescent="0.25"/>
    <row r="57" spans="2:7" s="2" customFormat="1" ht="18" x14ac:dyDescent="0.25"/>
    <row r="58" spans="2:7" s="2" customFormat="1" ht="18" x14ac:dyDescent="0.25">
      <c r="B58" s="4"/>
      <c r="C58" s="4"/>
      <c r="D58" s="4"/>
      <c r="E58" s="4"/>
      <c r="F58" s="4"/>
      <c r="G58" s="4"/>
    </row>
  </sheetData>
  <sheetProtection sheet="1" objects="1" scenarios="1"/>
  <protectedRanges>
    <protectedRange sqref="G17" name="Range3"/>
    <protectedRange sqref="G12:G13" name="Range2"/>
    <protectedRange sqref="G9:G10" name="Range1"/>
  </protectedRanges>
  <mergeCells count="10">
    <mergeCell ref="E2:J5"/>
    <mergeCell ref="I7:J7"/>
    <mergeCell ref="B28:E28"/>
    <mergeCell ref="B9:E9"/>
    <mergeCell ref="B27:E27"/>
    <mergeCell ref="B13:E13"/>
    <mergeCell ref="B17:E17"/>
    <mergeCell ref="B12:E12"/>
    <mergeCell ref="B20:E20"/>
    <mergeCell ref="B21:E21"/>
  </mergeCells>
  <pageMargins left="0.7" right="0.7" top="0.75" bottom="0.75" header="0.3" footer="0.3"/>
  <pageSetup scale="7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t desired phytase product" prompt="_x000a_" xr:uid="{00000000-0002-0000-0300-000000000000}">
          <x14:formula1>
            <xm:f>'2025 Regression Curves'!$A$5:$A$15</xm:f>
          </x14:formula1>
          <xm:sqref>G12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T58"/>
  <sheetViews>
    <sheetView zoomScale="80" zoomScaleNormal="80" workbookViewId="0">
      <selection activeCell="H19" sqref="H19"/>
    </sheetView>
  </sheetViews>
  <sheetFormatPr defaultColWidth="10.875" defaultRowHeight="15.75" x14ac:dyDescent="0.25"/>
  <cols>
    <col min="1" max="1" width="1.375" style="4" customWidth="1"/>
    <col min="2" max="2" width="12.875" style="4" customWidth="1"/>
    <col min="3" max="4" width="10.875" style="4"/>
    <col min="5" max="5" width="24.5" style="4" customWidth="1"/>
    <col min="6" max="6" width="3.625" style="4" customWidth="1"/>
    <col min="7" max="7" width="52.5" style="4" customWidth="1"/>
    <col min="8" max="8" width="25" style="4" customWidth="1"/>
    <col min="9" max="9" width="33.625" style="4" customWidth="1"/>
    <col min="10" max="12" width="10.875" style="4"/>
    <col min="13" max="13" width="16.25" style="4" bestFit="1" customWidth="1"/>
    <col min="14" max="14" width="16.25" style="4" customWidth="1"/>
    <col min="15" max="15" width="4.875" style="4" customWidth="1"/>
    <col min="16" max="16" width="22" style="4" customWidth="1"/>
    <col min="17" max="17" width="15" style="4" hidden="1" customWidth="1"/>
    <col min="18" max="18" width="10.875" style="4" customWidth="1"/>
    <col min="19" max="16384" width="10.875" style="4"/>
  </cols>
  <sheetData>
    <row r="1" spans="2:17" s="1" customFormat="1" x14ac:dyDescent="0.25"/>
    <row r="2" spans="2:17" s="1" customFormat="1" ht="15.75" customHeight="1" x14ac:dyDescent="0.25">
      <c r="D2" s="4"/>
      <c r="E2" s="195" t="s">
        <v>271</v>
      </c>
      <c r="F2" s="195"/>
      <c r="G2" s="195"/>
      <c r="H2" s="195"/>
      <c r="I2" s="195"/>
      <c r="J2" s="195"/>
    </row>
    <row r="3" spans="2:17" s="1" customFormat="1" ht="31.5" customHeight="1" x14ac:dyDescent="0.25">
      <c r="D3" s="4"/>
      <c r="E3" s="195"/>
      <c r="F3" s="195"/>
      <c r="G3" s="195"/>
      <c r="H3" s="195"/>
      <c r="I3" s="195"/>
      <c r="J3" s="195"/>
    </row>
    <row r="4" spans="2:17" s="1" customFormat="1" ht="15.75" customHeight="1" x14ac:dyDescent="0.25">
      <c r="D4" s="4"/>
      <c r="E4" s="195"/>
      <c r="F4" s="195"/>
      <c r="G4" s="195"/>
      <c r="H4" s="195"/>
      <c r="I4" s="195"/>
      <c r="J4" s="195"/>
    </row>
    <row r="5" spans="2:17" s="1" customFormat="1" ht="15.75" customHeight="1" x14ac:dyDescent="0.25">
      <c r="D5" s="4"/>
      <c r="E5" s="195"/>
      <c r="F5" s="195"/>
      <c r="G5" s="195"/>
      <c r="H5" s="195"/>
      <c r="I5" s="195"/>
      <c r="J5" s="195"/>
      <c r="Q5" s="1" t="s">
        <v>57</v>
      </c>
    </row>
    <row r="6" spans="2:17" s="1" customFormat="1" ht="15.75" customHeight="1" x14ac:dyDescent="0.25">
      <c r="D6" s="4"/>
      <c r="E6" s="4"/>
      <c r="F6" s="4"/>
      <c r="G6" s="4"/>
      <c r="H6" s="4"/>
      <c r="I6" s="4"/>
      <c r="Q6" s="1" t="s">
        <v>58</v>
      </c>
    </row>
    <row r="7" spans="2:17" s="1" customFormat="1" ht="15.75" customHeight="1" x14ac:dyDescent="0.25">
      <c r="D7" s="4"/>
      <c r="E7" s="4"/>
      <c r="F7" s="4"/>
      <c r="G7" s="4"/>
      <c r="I7" s="196" t="s">
        <v>31</v>
      </c>
      <c r="J7" s="196"/>
      <c r="K7" s="4"/>
    </row>
    <row r="8" spans="2:17" s="1" customFormat="1" x14ac:dyDescent="0.25">
      <c r="D8" s="4"/>
      <c r="E8" s="4"/>
      <c r="F8" s="4"/>
      <c r="G8" s="4"/>
      <c r="H8" s="4"/>
      <c r="I8" s="4"/>
      <c r="J8" s="4"/>
      <c r="K8" s="4"/>
    </row>
    <row r="9" spans="2:17" s="1" customFormat="1" ht="18" x14ac:dyDescent="0.25">
      <c r="B9" s="198" t="s">
        <v>32</v>
      </c>
      <c r="C9" s="198"/>
      <c r="D9" s="198"/>
      <c r="E9" s="198"/>
      <c r="F9" s="4"/>
      <c r="G9" s="56">
        <v>0.25</v>
      </c>
      <c r="H9" s="29" t="s">
        <v>33</v>
      </c>
      <c r="J9" s="4"/>
      <c r="K9" s="4"/>
    </row>
    <row r="10" spans="2:17" s="1" customFormat="1" ht="18.75" x14ac:dyDescent="0.25">
      <c r="B10" s="148"/>
      <c r="C10" s="148"/>
      <c r="D10" s="148"/>
      <c r="E10" s="58" t="s">
        <v>41</v>
      </c>
      <c r="F10" s="4"/>
      <c r="G10" s="149">
        <v>0.7</v>
      </c>
      <c r="H10" s="28"/>
      <c r="I10" s="28"/>
      <c r="J10" s="4"/>
      <c r="K10" s="4"/>
    </row>
    <row r="11" spans="2:17" s="1" customFormat="1" ht="12" customHeight="1" x14ac:dyDescent="0.3">
      <c r="D11" s="28"/>
      <c r="E11" s="28"/>
      <c r="F11" s="4"/>
      <c r="G11" s="68"/>
      <c r="H11" s="28"/>
      <c r="I11" s="28"/>
      <c r="J11" s="4"/>
      <c r="K11" s="4"/>
    </row>
    <row r="12" spans="2:17" s="1" customFormat="1" ht="18" x14ac:dyDescent="0.25">
      <c r="B12" s="198" t="s">
        <v>42</v>
      </c>
      <c r="C12" s="198"/>
      <c r="D12" s="198"/>
      <c r="E12" s="198"/>
      <c r="F12" s="8"/>
      <c r="G12" s="146" t="s">
        <v>7</v>
      </c>
    </row>
    <row r="13" spans="2:17" s="1" customFormat="1" ht="18" x14ac:dyDescent="0.25">
      <c r="B13" s="198" t="s">
        <v>43</v>
      </c>
      <c r="C13" s="198"/>
      <c r="D13" s="198"/>
      <c r="E13" s="198"/>
      <c r="F13" s="8"/>
      <c r="G13" s="150">
        <v>2500</v>
      </c>
      <c r="H13" s="29" t="s">
        <v>44</v>
      </c>
    </row>
    <row r="14" spans="2:17" s="1" customFormat="1" ht="18" x14ac:dyDescent="0.25">
      <c r="B14" s="148"/>
      <c r="C14" s="148"/>
      <c r="D14" s="148"/>
      <c r="E14" s="148"/>
      <c r="F14" s="15"/>
      <c r="G14" s="148"/>
      <c r="H14" s="29"/>
    </row>
    <row r="15" spans="2:17" s="1" customFormat="1" ht="18" x14ac:dyDescent="0.25">
      <c r="B15" s="148"/>
      <c r="C15" s="148"/>
      <c r="D15" s="148"/>
      <c r="E15" s="147" t="s">
        <v>45</v>
      </c>
      <c r="F15" s="27"/>
      <c r="G15" s="151">
        <f>VLOOKUP(G12,'2025 Regression Curves'!$A$5:$H$15,6,FALSE)</f>
        <v>3000</v>
      </c>
      <c r="H15" s="29" t="s">
        <v>46</v>
      </c>
    </row>
    <row r="16" spans="2:17" s="1" customFormat="1" ht="18" x14ac:dyDescent="0.25">
      <c r="B16" s="148"/>
      <c r="C16" s="148"/>
      <c r="D16" s="148"/>
      <c r="E16" s="148"/>
      <c r="F16" s="15"/>
      <c r="H16" s="29"/>
    </row>
    <row r="17" spans="2:20" s="2" customFormat="1" ht="22.5" customHeight="1" x14ac:dyDescent="0.25">
      <c r="B17" s="198" t="s">
        <v>59</v>
      </c>
      <c r="C17" s="198"/>
      <c r="D17" s="198"/>
      <c r="E17" s="198"/>
      <c r="F17" s="8"/>
      <c r="G17" s="146" t="s">
        <v>57</v>
      </c>
      <c r="H17" s="29"/>
      <c r="I17" s="70"/>
    </row>
    <row r="18" spans="2:20" s="2" customFormat="1" ht="22.5" customHeight="1" x14ac:dyDescent="0.25">
      <c r="B18" s="148"/>
      <c r="C18" s="148"/>
      <c r="D18" s="148"/>
      <c r="E18" s="148" t="s">
        <v>60</v>
      </c>
      <c r="F18" s="15"/>
      <c r="G18" s="56">
        <v>0.14000000000000001</v>
      </c>
      <c r="H18" s="29"/>
      <c r="I18" s="70"/>
    </row>
    <row r="19" spans="2:20" s="2" customFormat="1" ht="18.75" x14ac:dyDescent="0.25">
      <c r="B19" s="148"/>
      <c r="C19" s="148"/>
      <c r="D19" s="148"/>
      <c r="E19" s="147" t="s">
        <v>61</v>
      </c>
      <c r="F19" s="27"/>
      <c r="G19" s="74" t="str">
        <f>ROUND(VLOOKUP(G17,$F$22:$G$23,2,FALSE),2)&amp;"%"&amp;" "&amp;G17</f>
        <v>0.2% Available P</v>
      </c>
      <c r="H19" s="29"/>
      <c r="I19" s="70"/>
    </row>
    <row r="20" spans="2:20" s="2" customFormat="1" ht="20.25" hidden="1" customHeight="1" x14ac:dyDescent="0.25">
      <c r="B20" s="67"/>
      <c r="C20" s="67"/>
      <c r="D20" s="67"/>
      <c r="E20" s="67"/>
      <c r="F20" s="5"/>
      <c r="G20" s="5"/>
      <c r="H20" s="29"/>
      <c r="I20" s="70"/>
    </row>
    <row r="21" spans="2:20" s="2" customFormat="1" ht="20.25" hidden="1" customHeight="1" x14ac:dyDescent="0.25">
      <c r="B21" s="67"/>
      <c r="C21" s="67"/>
      <c r="D21" s="67"/>
      <c r="E21" s="67"/>
      <c r="F21" s="82" t="s">
        <v>62</v>
      </c>
      <c r="G21" s="74">
        <f>ROUND(VLOOKUP(G17,$F$22:$G$23,2,FALSE),2)</f>
        <v>0.2</v>
      </c>
      <c r="H21" s="29"/>
      <c r="I21" s="70"/>
    </row>
    <row r="22" spans="2:20" s="2" customFormat="1" ht="18.75" hidden="1" x14ac:dyDescent="0.25">
      <c r="B22" s="147"/>
      <c r="C22" s="147"/>
      <c r="D22" s="147"/>
      <c r="F22" s="27" t="s">
        <v>58</v>
      </c>
      <c r="G22" s="74">
        <f>G9*G10</f>
        <v>0.17499999999999999</v>
      </c>
      <c r="H22" s="80" t="s">
        <v>51</v>
      </c>
      <c r="I22" s="29"/>
    </row>
    <row r="23" spans="2:20" s="2" customFormat="1" ht="18.75" hidden="1" x14ac:dyDescent="0.25">
      <c r="B23" s="147"/>
      <c r="C23" s="147"/>
      <c r="D23" s="147"/>
      <c r="F23" s="27" t="s">
        <v>57</v>
      </c>
      <c r="G23" s="74">
        <f>G22/0.88</f>
        <v>0.19886363636363635</v>
      </c>
      <c r="H23" s="80" t="s">
        <v>52</v>
      </c>
      <c r="I23" s="29"/>
      <c r="M23" s="3"/>
      <c r="N23" s="3"/>
      <c r="O23" s="3"/>
      <c r="P23" s="3"/>
      <c r="Q23" s="3"/>
      <c r="R23" s="3"/>
      <c r="S23" s="3"/>
      <c r="T23" s="3"/>
    </row>
    <row r="24" spans="2:20" s="2" customFormat="1" ht="17.25" customHeight="1" x14ac:dyDescent="0.25">
      <c r="B24" s="57"/>
      <c r="C24" s="57"/>
      <c r="D24" s="57"/>
      <c r="E24" s="57"/>
      <c r="F24" s="3"/>
      <c r="H24" s="6"/>
      <c r="I24" s="6"/>
      <c r="M24" s="3"/>
      <c r="N24" s="16"/>
      <c r="O24" s="3"/>
      <c r="P24" s="3"/>
      <c r="Q24" s="3"/>
      <c r="R24" s="3"/>
      <c r="S24" s="3"/>
      <c r="T24" s="3"/>
    </row>
    <row r="25" spans="2:20" s="2" customFormat="1" ht="24" customHeight="1" x14ac:dyDescent="0.25">
      <c r="B25" s="197" t="s">
        <v>63</v>
      </c>
      <c r="C25" s="197"/>
      <c r="D25" s="197"/>
      <c r="E25" s="197"/>
      <c r="F25" s="27"/>
      <c r="G25" s="76">
        <f>IF(G18&gt;G21,"Above max release of phytate P",IF(IF(G17=Q6,ROUNDUP(((G18*(VLOOKUP(G12,'2025 Regression Curves'!$A$5:$H$15,5,FALSE))/(VLOOKUP(G12,'2025 Regression Curves'!$A$5:$H$15,4,FALSE)-G18))),-1),((G18*(VLOOKUP(G12,'2025 Regression Curves'!$A$5:$H$15,3,FALSE))/(VLOOKUP(G12,'2025 Regression Curves'!$A$5:$H$15,2,FALSE)-G18))))&gt;G15,"Above max level of phytase providing release",IF(G17=Q6,ROUNDUP(((G18*(VLOOKUP(G12,'2025 Regression Curves'!$A$5:$H$15,5,FALSE))/(VLOOKUP(G12,'2025 Regression Curves'!$A$5:$H$15,4,FALSE)-G18))),-1),ROUNDUP(((G18*(VLOOKUP(G12,'2025 Regression Curves'!$A$5:$H$15,3,FALSE))/(VLOOKUP(G12,'2025 Regression Curves'!$A$5:$H$15,2,FALSE)-G18))),-1))))</f>
        <v>720</v>
      </c>
      <c r="H25" s="81" t="str">
        <f>IF(G25="Above max release of phytate P","Max release of phytate P is"&amp;" "&amp;ROUND(G21,2)&amp;"%"&amp; " "&amp;G17,IF(G25="Above max level of phytase providing release","Max phytase dose providing release of phytate P based on available data is"&amp;" "&amp;G15&amp; " "&amp;"phytase units/kg"," "))</f>
        <v xml:space="preserve"> </v>
      </c>
      <c r="I25" s="29"/>
      <c r="M25" s="3"/>
      <c r="N25" s="16"/>
      <c r="O25" s="3"/>
      <c r="P25" s="3"/>
      <c r="Q25" s="3"/>
      <c r="R25" s="3"/>
      <c r="S25" s="3"/>
      <c r="T25" s="3"/>
    </row>
    <row r="26" spans="2:20" s="2" customFormat="1" ht="15.75" customHeight="1" x14ac:dyDescent="0.25">
      <c r="B26" s="147"/>
      <c r="C26" s="147"/>
      <c r="D26" s="147"/>
      <c r="E26" s="147"/>
      <c r="F26" s="27"/>
      <c r="G26" s="147"/>
      <c r="H26" s="78"/>
      <c r="I26" s="79"/>
      <c r="M26" s="3"/>
      <c r="N26" s="16"/>
      <c r="O26" s="3"/>
      <c r="P26" s="3"/>
      <c r="Q26" s="3"/>
      <c r="R26" s="3"/>
      <c r="S26" s="3"/>
      <c r="T26" s="3"/>
    </row>
    <row r="27" spans="2:20" s="2" customFormat="1" ht="24" customHeight="1" x14ac:dyDescent="0.25">
      <c r="B27" s="197" t="s">
        <v>49</v>
      </c>
      <c r="C27" s="197"/>
      <c r="D27" s="197"/>
      <c r="E27" s="197"/>
      <c r="F27" s="27"/>
      <c r="G27" s="73">
        <f>G25*0.453592*2000/G13</f>
        <v>261.26899199999997</v>
      </c>
      <c r="H27" s="6"/>
      <c r="I27" s="29"/>
    </row>
    <row r="28" spans="2:20" s="2" customFormat="1" ht="24" customHeight="1" x14ac:dyDescent="0.25">
      <c r="B28" s="197" t="s">
        <v>50</v>
      </c>
      <c r="C28" s="197"/>
      <c r="D28" s="197"/>
      <c r="E28" s="197"/>
      <c r="F28" s="27"/>
      <c r="G28" s="74">
        <f>G27/453.592</f>
        <v>0.57599999999999996</v>
      </c>
      <c r="H28" s="29"/>
      <c r="I28" s="29"/>
    </row>
    <row r="29" spans="2:20" s="2" customFormat="1" ht="24" customHeight="1" x14ac:dyDescent="0.25">
      <c r="M29" s="3"/>
      <c r="N29" s="16"/>
      <c r="O29" s="3"/>
      <c r="P29" s="27"/>
      <c r="Q29" s="3"/>
      <c r="R29" s="3"/>
      <c r="S29" s="3"/>
      <c r="T29" s="3"/>
    </row>
    <row r="30" spans="2:20" s="2" customFormat="1" ht="24" customHeight="1" x14ac:dyDescent="0.25">
      <c r="F30" s="20">
        <v>1</v>
      </c>
      <c r="G30" s="25" t="s">
        <v>39</v>
      </c>
      <c r="M30" s="3"/>
      <c r="N30" s="3"/>
      <c r="O30" s="3"/>
      <c r="P30" s="3"/>
      <c r="Q30" s="3"/>
      <c r="R30" s="3"/>
      <c r="S30" s="3"/>
      <c r="T30" s="3"/>
    </row>
    <row r="31" spans="2:20" s="2" customFormat="1" ht="24" customHeight="1" x14ac:dyDescent="0.25">
      <c r="G31" s="25" t="s">
        <v>40</v>
      </c>
      <c r="M31" s="3"/>
      <c r="N31" s="3"/>
      <c r="O31" s="3"/>
      <c r="P31" s="3"/>
      <c r="Q31" s="3"/>
      <c r="R31" s="3"/>
      <c r="S31" s="3"/>
      <c r="T31" s="3"/>
    </row>
    <row r="32" spans="2:20" s="2" customFormat="1" ht="18" x14ac:dyDescent="0.25">
      <c r="F32" s="20">
        <v>2</v>
      </c>
      <c r="G32" s="25" t="s">
        <v>56</v>
      </c>
    </row>
    <row r="33" s="2" customFormat="1" ht="18" x14ac:dyDescent="0.25"/>
    <row r="34" s="2" customFormat="1" ht="18" x14ac:dyDescent="0.25"/>
    <row r="35" s="2" customFormat="1" ht="18" customHeight="1" x14ac:dyDescent="0.25"/>
    <row r="36" s="2" customFormat="1" ht="18" x14ac:dyDescent="0.25"/>
    <row r="37" s="2" customFormat="1" ht="18" x14ac:dyDescent="0.25"/>
    <row r="38" s="2" customFormat="1" ht="18" x14ac:dyDescent="0.25"/>
    <row r="39" s="2" customFormat="1" ht="18" x14ac:dyDescent="0.25"/>
    <row r="40" s="2" customFormat="1" ht="18" x14ac:dyDescent="0.25"/>
    <row r="41" s="2" customFormat="1" ht="18" x14ac:dyDescent="0.25"/>
    <row r="42" s="2" customFormat="1" ht="18" x14ac:dyDescent="0.25"/>
    <row r="43" s="2" customFormat="1" ht="18" x14ac:dyDescent="0.25"/>
    <row r="44" s="2" customFormat="1" ht="18" x14ac:dyDescent="0.25"/>
    <row r="45" s="2" customFormat="1" ht="18" x14ac:dyDescent="0.25"/>
    <row r="46" s="2" customFormat="1" ht="18" x14ac:dyDescent="0.25"/>
    <row r="47" s="2" customFormat="1" ht="18" x14ac:dyDescent="0.25"/>
    <row r="48" s="2" customFormat="1" ht="18" x14ac:dyDescent="0.25"/>
    <row r="49" spans="2:7" s="2" customFormat="1" ht="18" x14ac:dyDescent="0.25"/>
    <row r="50" spans="2:7" s="2" customFormat="1" ht="18" x14ac:dyDescent="0.25"/>
    <row r="51" spans="2:7" s="2" customFormat="1" ht="18" x14ac:dyDescent="0.25"/>
    <row r="52" spans="2:7" s="2" customFormat="1" ht="18" x14ac:dyDescent="0.25"/>
    <row r="53" spans="2:7" s="2" customFormat="1" ht="18" x14ac:dyDescent="0.25"/>
    <row r="54" spans="2:7" s="2" customFormat="1" ht="18" x14ac:dyDescent="0.25"/>
    <row r="55" spans="2:7" s="2" customFormat="1" ht="18" x14ac:dyDescent="0.25"/>
    <row r="56" spans="2:7" s="2" customFormat="1" ht="18" x14ac:dyDescent="0.25"/>
    <row r="57" spans="2:7" s="2" customFormat="1" ht="18" x14ac:dyDescent="0.25"/>
    <row r="58" spans="2:7" s="2" customFormat="1" ht="18" x14ac:dyDescent="0.25">
      <c r="B58" s="4"/>
      <c r="C58" s="4"/>
      <c r="D58" s="4"/>
      <c r="E58" s="4"/>
      <c r="F58" s="4"/>
      <c r="G58" s="4"/>
    </row>
  </sheetData>
  <sheetProtection sheet="1" objects="1" scenarios="1"/>
  <protectedRanges>
    <protectedRange sqref="G17:G18" name="Range3"/>
    <protectedRange sqref="G12:G14 G16" name="Range2"/>
    <protectedRange sqref="G9:G10" name="Range1"/>
  </protectedRanges>
  <mergeCells count="9">
    <mergeCell ref="B27:E27"/>
    <mergeCell ref="B28:E28"/>
    <mergeCell ref="B25:E25"/>
    <mergeCell ref="E2:J5"/>
    <mergeCell ref="I7:J7"/>
    <mergeCell ref="B9:E9"/>
    <mergeCell ref="B12:E12"/>
    <mergeCell ref="B13:E13"/>
    <mergeCell ref="B17:E17"/>
  </mergeCells>
  <dataValidations count="2">
    <dataValidation type="list" allowBlank="1" showInputMessage="1" showErrorMessage="1" sqref="G17" xr:uid="{00000000-0002-0000-0400-000000000000}">
      <formula1>$Q$5:$Q$6</formula1>
    </dataValidation>
    <dataValidation type="decimal" operator="lessThanOrEqual" allowBlank="1" showInputMessage="1" showErrorMessage="1" errorTitle="Error" error="Desired release is above maximum release from phytate P." promptTitle="Desired release" prompt="Desired release of P must be less than or equal to maximum release from phytate P listed below." sqref="G18" xr:uid="{00000000-0002-0000-0400-000001000000}">
      <formula1>G21</formula1>
    </dataValidation>
  </dataValidations>
  <pageMargins left="0.7" right="0.7" top="0.75" bottom="0.75" header="0.3" footer="0.3"/>
  <pageSetup scale="6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t desired phytase product" prompt="_x000a_" xr:uid="{00000000-0002-0000-0400-000002000000}">
          <x14:formula1>
            <xm:f>'2025 Regression Curves'!$A$5:$A$15</xm:f>
          </x14:formula1>
          <xm:sqref>G12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C1:V43"/>
  <sheetViews>
    <sheetView topLeftCell="B1" zoomScale="80" zoomScaleNormal="80" workbookViewId="0">
      <selection activeCell="F6" sqref="F6"/>
    </sheetView>
  </sheetViews>
  <sheetFormatPr defaultColWidth="10.875" defaultRowHeight="15.75" x14ac:dyDescent="0.25"/>
  <cols>
    <col min="1" max="2" width="1.375" style="4" customWidth="1"/>
    <col min="3" max="3" width="12.875" style="4" customWidth="1"/>
    <col min="4" max="5" width="10.875" style="4"/>
    <col min="6" max="6" width="26.625" style="4" customWidth="1"/>
    <col min="7" max="7" width="3.625" style="4" customWidth="1"/>
    <col min="8" max="14" width="24" style="4" customWidth="1"/>
    <col min="15" max="15" width="16.25" style="4" bestFit="1" customWidth="1"/>
    <col min="16" max="16" width="16.25" style="4" customWidth="1"/>
    <col min="17" max="17" width="4.875" style="4" customWidth="1"/>
    <col min="18" max="18" width="22" style="4" customWidth="1"/>
    <col min="19" max="19" width="15" style="4" customWidth="1"/>
    <col min="20" max="20" width="10.875" style="4" customWidth="1"/>
    <col min="21" max="16384" width="10.875" style="4"/>
  </cols>
  <sheetData>
    <row r="1" spans="3:22" s="1" customFormat="1" x14ac:dyDescent="0.25"/>
    <row r="2" spans="3:22" s="1" customFormat="1" ht="15.75" customHeight="1" x14ac:dyDescent="0.25">
      <c r="E2" s="4"/>
      <c r="F2" s="199" t="s">
        <v>272</v>
      </c>
      <c r="G2" s="199"/>
      <c r="H2" s="199"/>
      <c r="I2" s="199"/>
      <c r="J2" s="199"/>
      <c r="K2" s="199"/>
      <c r="L2" s="199"/>
      <c r="M2" s="199"/>
      <c r="N2" s="199"/>
    </row>
    <row r="3" spans="3:22" s="1" customFormat="1" ht="31.5" customHeight="1" x14ac:dyDescent="0.25">
      <c r="E3" s="4"/>
      <c r="F3" s="199"/>
      <c r="G3" s="199"/>
      <c r="H3" s="199"/>
      <c r="I3" s="199"/>
      <c r="J3" s="199"/>
      <c r="K3" s="199"/>
      <c r="L3" s="199"/>
      <c r="M3" s="199"/>
      <c r="N3" s="199"/>
    </row>
    <row r="4" spans="3:22" s="1" customFormat="1" ht="15.75" customHeight="1" x14ac:dyDescent="0.25">
      <c r="E4" s="4"/>
      <c r="F4" s="199"/>
      <c r="G4" s="199"/>
      <c r="H4" s="199"/>
      <c r="I4" s="199"/>
      <c r="J4" s="199"/>
      <c r="K4" s="199"/>
      <c r="L4" s="199"/>
      <c r="M4" s="199"/>
      <c r="N4" s="199"/>
    </row>
    <row r="5" spans="3:22" s="1" customFormat="1" ht="15.75" customHeight="1" x14ac:dyDescent="0.25">
      <c r="E5" s="4"/>
      <c r="F5" s="199"/>
      <c r="G5" s="199"/>
      <c r="H5" s="199"/>
      <c r="I5" s="199"/>
      <c r="J5" s="199"/>
      <c r="K5" s="199"/>
      <c r="L5" s="199"/>
      <c r="M5" s="199"/>
      <c r="N5" s="199"/>
    </row>
    <row r="6" spans="3:22" s="1" customFormat="1" x14ac:dyDescent="0.25">
      <c r="E6" s="4"/>
      <c r="F6" s="4"/>
      <c r="G6" s="4"/>
      <c r="H6" s="4"/>
      <c r="I6" s="4"/>
      <c r="J6" s="4"/>
      <c r="K6" s="4"/>
      <c r="L6" s="4"/>
      <c r="M6" s="4"/>
    </row>
    <row r="7" spans="3:22" s="1" customFormat="1" ht="19.5" x14ac:dyDescent="0.3">
      <c r="C7" s="148"/>
      <c r="D7" s="148"/>
      <c r="E7" s="148"/>
      <c r="F7" s="58" t="s">
        <v>41</v>
      </c>
      <c r="G7" s="4"/>
      <c r="H7" s="200">
        <v>0.7</v>
      </c>
      <c r="I7" s="200"/>
      <c r="J7" s="55"/>
      <c r="K7" s="196" t="s">
        <v>31</v>
      </c>
      <c r="L7" s="196"/>
      <c r="M7" s="55"/>
      <c r="N7" s="55"/>
    </row>
    <row r="8" spans="3:22" s="1" customFormat="1" ht="12" customHeight="1" x14ac:dyDescent="0.3">
      <c r="E8" s="28"/>
      <c r="F8" s="28"/>
      <c r="G8" s="4"/>
      <c r="H8" s="68"/>
      <c r="I8" s="68"/>
      <c r="J8" s="68"/>
      <c r="K8" s="68"/>
      <c r="L8" s="68"/>
      <c r="M8" s="68"/>
      <c r="N8" s="55"/>
    </row>
    <row r="9" spans="3:22" s="1" customFormat="1" ht="18.75" x14ac:dyDescent="0.3">
      <c r="C9" s="198" t="s">
        <v>42</v>
      </c>
      <c r="D9" s="198"/>
      <c r="E9" s="198"/>
      <c r="F9" s="198"/>
      <c r="G9" s="8"/>
      <c r="H9" s="196" t="s">
        <v>7</v>
      </c>
      <c r="I9" s="196"/>
      <c r="J9" s="55"/>
      <c r="K9" s="55"/>
      <c r="L9" s="55"/>
      <c r="M9" s="55"/>
      <c r="N9" s="55"/>
    </row>
    <row r="10" spans="3:22" s="1" customFormat="1" ht="18.75" x14ac:dyDescent="0.3">
      <c r="C10" s="148"/>
      <c r="D10" s="148"/>
      <c r="E10" s="148"/>
      <c r="F10" s="75" t="s">
        <v>64</v>
      </c>
      <c r="H10" s="201">
        <v>200000</v>
      </c>
      <c r="I10" s="201"/>
      <c r="J10" s="55"/>
      <c r="K10" s="55"/>
      <c r="L10" s="55"/>
      <c r="M10" s="55"/>
      <c r="N10" s="55"/>
    </row>
    <row r="11" spans="3:22" s="1" customFormat="1" ht="18.75" x14ac:dyDescent="0.3">
      <c r="C11" s="148"/>
      <c r="D11" s="148"/>
      <c r="E11" s="148"/>
      <c r="H11" s="55"/>
      <c r="I11" s="55"/>
      <c r="J11" s="55"/>
      <c r="K11" s="55"/>
      <c r="L11" s="55"/>
      <c r="M11" s="55"/>
      <c r="N11" s="55"/>
    </row>
    <row r="12" spans="3:22" ht="18.75" x14ac:dyDescent="0.3">
      <c r="C12" s="66"/>
      <c r="D12" s="66"/>
      <c r="E12" s="66"/>
      <c r="F12" s="147" t="s">
        <v>45</v>
      </c>
      <c r="G12" s="27"/>
      <c r="H12" s="202">
        <f>VLOOKUP(H9,'2025 Regression Curves'!$A$5:$H$15,6,FALSE)</f>
        <v>3000</v>
      </c>
      <c r="I12" s="202"/>
      <c r="J12" s="2" t="s">
        <v>65</v>
      </c>
      <c r="K12" s="68"/>
      <c r="L12" s="68"/>
      <c r="M12" s="68"/>
      <c r="N12" s="68"/>
    </row>
    <row r="13" spans="3:22" s="2" customFormat="1" ht="15.75" customHeight="1" x14ac:dyDescent="0.25">
      <c r="C13" s="147"/>
      <c r="D13" s="147"/>
      <c r="E13" s="147"/>
      <c r="F13" s="147"/>
      <c r="G13" s="27"/>
    </row>
    <row r="14" spans="3:22" s="2" customFormat="1" ht="18.75" x14ac:dyDescent="0.25">
      <c r="C14" s="147"/>
      <c r="D14" s="147"/>
      <c r="E14" s="147"/>
      <c r="F14" s="147" t="s">
        <v>51</v>
      </c>
      <c r="G14" s="27"/>
      <c r="H14" s="74">
        <f>H19*$H$7</f>
        <v>0.105</v>
      </c>
      <c r="I14" s="74">
        <f t="shared" ref="I14:J14" si="0">I19*$H$7</f>
        <v>0.154</v>
      </c>
      <c r="J14" s="74">
        <f t="shared" si="0"/>
        <v>0.16799999999999998</v>
      </c>
      <c r="K14" s="74">
        <f>K19*$H$7</f>
        <v>0.17499999999999999</v>
      </c>
      <c r="L14" s="74">
        <f t="shared" ref="L14:N14" si="1">L19*$H$7</f>
        <v>0.16799999999999998</v>
      </c>
      <c r="M14" s="74">
        <f>M19*$H$7</f>
        <v>0.16799999999999998</v>
      </c>
      <c r="N14" s="74">
        <f t="shared" si="1"/>
        <v>0.16799999999999998</v>
      </c>
    </row>
    <row r="15" spans="3:22" s="2" customFormat="1" ht="18.75" x14ac:dyDescent="0.25">
      <c r="C15" s="147"/>
      <c r="D15" s="147"/>
      <c r="E15" s="147"/>
      <c r="F15" s="147" t="s">
        <v>52</v>
      </c>
      <c r="G15" s="27"/>
      <c r="H15" s="74">
        <f>H14/0.88</f>
        <v>0.11931818181818181</v>
      </c>
      <c r="I15" s="74">
        <f t="shared" ref="I15:J15" si="2">I14/0.88</f>
        <v>0.17499999999999999</v>
      </c>
      <c r="J15" s="74">
        <f t="shared" si="2"/>
        <v>0.19090909090909089</v>
      </c>
      <c r="K15" s="74">
        <f>K14/0.88</f>
        <v>0.19886363636363635</v>
      </c>
      <c r="L15" s="74">
        <f t="shared" ref="L15:M15" si="3">L14/0.88</f>
        <v>0.19090909090909089</v>
      </c>
      <c r="M15" s="74">
        <f t="shared" si="3"/>
        <v>0.19090909090909089</v>
      </c>
      <c r="N15" s="74">
        <f t="shared" ref="N15" si="4">N14/0.88</f>
        <v>0.19090909090909089</v>
      </c>
      <c r="O15" s="3"/>
      <c r="P15" s="3"/>
      <c r="Q15" s="3"/>
      <c r="R15" s="3"/>
      <c r="S15" s="3"/>
      <c r="T15" s="3"/>
      <c r="U15" s="3"/>
      <c r="V15" s="3"/>
    </row>
    <row r="16" spans="3:22" s="2" customFormat="1" ht="18" x14ac:dyDescent="0.25">
      <c r="C16" s="147"/>
      <c r="D16" s="147"/>
      <c r="E16" s="147"/>
      <c r="F16" s="147"/>
      <c r="O16" s="3"/>
      <c r="P16" s="3"/>
      <c r="Q16" s="3"/>
      <c r="R16" s="3"/>
      <c r="S16" s="3"/>
      <c r="T16" s="3"/>
      <c r="U16" s="3"/>
      <c r="V16" s="3"/>
    </row>
    <row r="17" spans="3:14" s="2" customFormat="1" ht="18" x14ac:dyDescent="0.25">
      <c r="C17" s="29"/>
      <c r="D17" s="29"/>
      <c r="E17" s="29"/>
      <c r="F17" s="29"/>
      <c r="H17" s="14" t="s">
        <v>66</v>
      </c>
      <c r="I17" s="14" t="s">
        <v>67</v>
      </c>
      <c r="J17" s="14" t="s">
        <v>68</v>
      </c>
      <c r="K17" s="14" t="s">
        <v>69</v>
      </c>
      <c r="L17" s="14" t="s">
        <v>70</v>
      </c>
      <c r="M17" s="14" t="s">
        <v>71</v>
      </c>
      <c r="N17" s="14" t="s">
        <v>72</v>
      </c>
    </row>
    <row r="18" spans="3:14" s="2" customFormat="1" ht="18" x14ac:dyDescent="0.25">
      <c r="C18" s="57"/>
      <c r="D18" s="57"/>
      <c r="E18" s="57"/>
      <c r="F18" s="147" t="s">
        <v>73</v>
      </c>
      <c r="G18" s="3"/>
      <c r="H18" s="146">
        <v>5</v>
      </c>
      <c r="I18" s="146">
        <v>5</v>
      </c>
      <c r="J18" s="146">
        <v>5</v>
      </c>
      <c r="K18" s="146">
        <v>3</v>
      </c>
      <c r="L18" s="146">
        <v>2.5</v>
      </c>
      <c r="M18" s="146">
        <v>2</v>
      </c>
      <c r="N18" s="146">
        <v>1.5</v>
      </c>
    </row>
    <row r="19" spans="3:14" s="2" customFormat="1" ht="18.75" x14ac:dyDescent="0.25">
      <c r="C19" s="57"/>
      <c r="D19" s="57"/>
      <c r="E19" s="57"/>
      <c r="F19" s="147" t="s">
        <v>74</v>
      </c>
      <c r="G19" s="3"/>
      <c r="H19" s="146">
        <v>0.15</v>
      </c>
      <c r="I19" s="146">
        <v>0.22</v>
      </c>
      <c r="J19" s="146">
        <v>0.24</v>
      </c>
      <c r="K19" s="146">
        <v>0.25</v>
      </c>
      <c r="L19" s="146">
        <v>0.24</v>
      </c>
      <c r="M19" s="146">
        <v>0.24</v>
      </c>
      <c r="N19" s="146">
        <v>0.24</v>
      </c>
    </row>
    <row r="20" spans="3:14" s="2" customFormat="1" ht="18" x14ac:dyDescent="0.25">
      <c r="C20" s="57"/>
      <c r="D20" s="57"/>
      <c r="E20" s="57"/>
      <c r="F20" s="57"/>
      <c r="G20" s="27"/>
      <c r="H20" s="3"/>
      <c r="I20" s="3"/>
      <c r="J20" s="3"/>
      <c r="K20" s="3"/>
      <c r="L20" s="3"/>
      <c r="M20" s="3"/>
      <c r="N20" s="3"/>
    </row>
    <row r="21" spans="3:14" s="2" customFormat="1" ht="18" x14ac:dyDescent="0.25">
      <c r="C21" s="57"/>
      <c r="D21" s="57"/>
      <c r="E21" s="57"/>
      <c r="F21" s="147" t="s">
        <v>75</v>
      </c>
      <c r="G21" s="3"/>
      <c r="H21" s="76">
        <f>H22/0.453592</f>
        <v>1102.3122100918888</v>
      </c>
      <c r="I21" s="76">
        <f>I22/0.453592</f>
        <v>1102.3122100918888</v>
      </c>
      <c r="J21" s="76">
        <f t="shared" ref="J21" si="5">J22/0.453592</f>
        <v>1102.3122100918888</v>
      </c>
      <c r="K21" s="76">
        <f t="shared" ref="K21" si="6">K22/0.453592</f>
        <v>661.38732605513326</v>
      </c>
      <c r="L21" s="76">
        <f t="shared" ref="L21" si="7">L22/0.453592</f>
        <v>551.1561050459444</v>
      </c>
      <c r="M21" s="76">
        <f>M22/0.453592</f>
        <v>440.92488403675549</v>
      </c>
      <c r="N21" s="76">
        <f t="shared" ref="N21" si="8">N22/0.453592</f>
        <v>330.69366302756663</v>
      </c>
    </row>
    <row r="22" spans="3:14" s="2" customFormat="1" ht="18" x14ac:dyDescent="0.25">
      <c r="C22" s="57"/>
      <c r="D22" s="57"/>
      <c r="E22" s="57"/>
      <c r="F22" s="147" t="s">
        <v>76</v>
      </c>
      <c r="G22" s="3"/>
      <c r="H22" s="76">
        <f>$H$10*H18/2000</f>
        <v>500</v>
      </c>
      <c r="I22" s="76">
        <f>$H$10*I18/2000</f>
        <v>500</v>
      </c>
      <c r="J22" s="76">
        <f t="shared" ref="J22" si="9">$H$10*J18/2000</f>
        <v>500</v>
      </c>
      <c r="K22" s="76">
        <f t="shared" ref="K22:N22" si="10">$H$10*K18/2000</f>
        <v>300</v>
      </c>
      <c r="L22" s="76">
        <f t="shared" si="10"/>
        <v>250</v>
      </c>
      <c r="M22" s="76">
        <f>$H$10*M18/2000</f>
        <v>200</v>
      </c>
      <c r="N22" s="76">
        <f t="shared" si="10"/>
        <v>150</v>
      </c>
    </row>
    <row r="23" spans="3:14" s="2" customFormat="1" ht="18" x14ac:dyDescent="0.25">
      <c r="C23" s="57"/>
      <c r="D23" s="57"/>
      <c r="E23" s="57"/>
      <c r="F23" s="57"/>
      <c r="G23" s="27"/>
      <c r="H23" s="3"/>
      <c r="I23" s="3"/>
      <c r="J23" s="3"/>
      <c r="K23" s="3"/>
      <c r="L23" s="3"/>
      <c r="M23" s="3"/>
      <c r="N23" s="3"/>
    </row>
    <row r="24" spans="3:14" s="2" customFormat="1" ht="18" x14ac:dyDescent="0.25">
      <c r="C24" s="197" t="s">
        <v>55</v>
      </c>
      <c r="D24" s="197"/>
      <c r="E24" s="197"/>
      <c r="F24" s="197"/>
      <c r="G24" s="27"/>
      <c r="H24" s="69">
        <f>IF(((VLOOKUP($H$9,'2025 Regression Curves'!$A$5:$H$15,4,FALSE)*H21)/(VLOOKUP($H$9,'2025 Regression Curves'!$A$5:$H$15,5,FALSE)+H21))&gt;H14,H14,IF(H21&lt;=VLOOKUP($H$9,'2025 Regression Curves'!$A$5:$H$15,6,FALSE),((VLOOKUP($H$9,'2025 Regression Curves'!$A$5:$H$15,4,FALSE)*H21)/(VLOOKUP($H$9,'2025 Regression Curves'!$A$5:$H$15,5,FALSE)+H21)),((VLOOKUP($H$9,'2025 Regression Curves'!$A$5:$H$15,4,FALSE)*VLOOKUP($H$9,'2025 Regression Curves'!$A$5:$H$15,6,FALSE))/(VLOOKUP($H$9,'2025 Regression Curves'!$A$5:$H$15,5,FALSE)+(VLOOKUP($H$9,'2025 Regression Curves'!$A$5:$H$15,6,FALSE))))))</f>
        <v>0.105</v>
      </c>
      <c r="I24" s="69">
        <f>IF(((VLOOKUP($H$9,'2025 Regression Curves'!$A$5:$H$15,4,FALSE)*I21)/(VLOOKUP($H$9,'2025 Regression Curves'!$A$5:$H$15,5,FALSE)+I21))&gt;I14,I14,IF(I21&lt;=VLOOKUP($H$9,'2025 Regression Curves'!$A$5:$H$15,6,FALSE),((VLOOKUP($H$9,'2025 Regression Curves'!$A$5:$H$15,4,FALSE)*I21)/(VLOOKUP($H$9,'2025 Regression Curves'!$A$5:$H$15,5,FALSE)+I21)),((VLOOKUP($H$9,'2025 Regression Curves'!$A$5:$H$15,4,FALSE)*VLOOKUP($H$9,'2025 Regression Curves'!$A$5:$H$15,6,FALSE))/(VLOOKUP($H$9,'2025 Regression Curves'!$A$5:$H$15,5,FALSE)+(VLOOKUP($H$9,'2025 Regression Curves'!$A$5:$H$15,6,FALSE))))))</f>
        <v>0.14833437957765183</v>
      </c>
      <c r="J24" s="69">
        <f>IF(((VLOOKUP($H$9,'2025 Regression Curves'!$A$5:$H$15,4,FALSE)*J21)/(VLOOKUP($H$9,'2025 Regression Curves'!$A$5:$H$15,5,FALSE)+J21))&gt;J14,J14,IF(J21&lt;=VLOOKUP($H$9,'2025 Regression Curves'!$A$5:$H$15,6,FALSE),((VLOOKUP($H$9,'2025 Regression Curves'!$A$5:$H$15,4,FALSE)*J21)/(VLOOKUP($H$9,'2025 Regression Curves'!$A$5:$H$15,5,FALSE)+J21)),((VLOOKUP($H$9,'2025 Regression Curves'!$A$5:$H$15,4,FALSE)*VLOOKUP($H$9,'2025 Regression Curves'!$A$5:$H$15,6,FALSE))/(VLOOKUP($H$9,'2025 Regression Curves'!$A$5:$H$15,5,FALSE)+(VLOOKUP($H$9,'2025 Regression Curves'!$A$5:$H$15,6,FALSE))))))</f>
        <v>0.14833437957765183</v>
      </c>
      <c r="K24" s="69">
        <f>IF(((VLOOKUP($H$9,'2025 Regression Curves'!$A$5:$H$15,4,FALSE)*K21)/(VLOOKUP($H$9,'2025 Regression Curves'!$A$5:$H$15,5,FALSE)+K21))&gt;K14,K14,IF(K21&lt;=VLOOKUP($H$9,'2025 Regression Curves'!$A$5:$H$15,6,FALSE),((VLOOKUP($H$9,'2025 Regression Curves'!$A$5:$H$15,4,FALSE)*K21)/(VLOOKUP($H$9,'2025 Regression Curves'!$A$5:$H$15,5,FALSE)+K21)),((VLOOKUP($H$9,'2025 Regression Curves'!$A$5:$H$15,4,FALSE)*VLOOKUP($H$9,'2025 Regression Curves'!$A$5:$H$15,6,FALSE))/(VLOOKUP($H$9,'2025 Regression Curves'!$A$5:$H$15,5,FALSE)+(VLOOKUP($H$9,'2025 Regression Curves'!$A$5:$H$15,6,FALSE))))))</f>
        <v>0.11923395109831991</v>
      </c>
      <c r="L24" s="69">
        <f>IF(((VLOOKUP($H$9,'2025 Regression Curves'!$A$5:$H$15,4,FALSE)*L21)/(VLOOKUP($H$9,'2025 Regression Curves'!$A$5:$H$15,5,FALSE)+L21))&gt;L14,L14,IF(L21&lt;=VLOOKUP($H$9,'2025 Regression Curves'!$A$5:$H$15,6,FALSE),((VLOOKUP($H$9,'2025 Regression Curves'!$A$5:$H$15,4,FALSE)*L21)/(VLOOKUP($H$9,'2025 Regression Curves'!$A$5:$H$15,5,FALSE)+L21)),((VLOOKUP($H$9,'2025 Regression Curves'!$A$5:$H$15,4,FALSE)*VLOOKUP($H$9,'2025 Regression Curves'!$A$5:$H$15,6,FALSE))/(VLOOKUP($H$9,'2025 Regression Curves'!$A$5:$H$15,5,FALSE)+(VLOOKUP($H$9,'2025 Regression Curves'!$A$5:$H$15,6,FALSE))))))</f>
        <v>0.10858297734773827</v>
      </c>
      <c r="M24" s="69">
        <f>IF(((VLOOKUP($H$9,'2025 Regression Curves'!$A$5:$H$15,4,FALSE)*M21)/(VLOOKUP($H$9,'2025 Regression Curves'!$A$5:$H$15,5,FALSE)+M21))&gt;M14,M14,IF(M21&lt;=VLOOKUP($H$9,'2025 Regression Curves'!$A$5:$H$15,6,FALSE),((VLOOKUP($H$9,'2025 Regression Curves'!$A$5:$H$15,4,FALSE)*M21)/(VLOOKUP($H$9,'2025 Regression Curves'!$A$5:$H$15,5,FALSE)+M21)),((VLOOKUP($H$9,'2025 Regression Curves'!$A$5:$H$15,4,FALSE)*VLOOKUP($H$9,'2025 Regression Curves'!$A$5:$H$15,6,FALSE))/(VLOOKUP($H$9,'2025 Regression Curves'!$A$5:$H$15,5,FALSE)+(VLOOKUP($H$9,'2025 Regression Curves'!$A$5:$H$15,6,FALSE))))))</f>
        <v>9.5752814048074605E-2</v>
      </c>
      <c r="N24" s="69">
        <f>IF(((VLOOKUP($H$9,'2025 Regression Curves'!$A$5:$H$15,4,FALSE)*N21)/(VLOOKUP($H$9,'2025 Regression Curves'!$A$5:$H$15,5,FALSE)+N21))&gt;N14,N14,IF(N21&lt;=VLOOKUP($H$9,'2025 Regression Curves'!$A$5:$H$15,6,FALSE),((VLOOKUP($H$9,'2025 Regression Curves'!$A$5:$H$15,4,FALSE)*N21)/(VLOOKUP($H$9,'2025 Regression Curves'!$A$5:$H$15,5,FALSE)+N21)),((VLOOKUP($H$9,'2025 Regression Curves'!$A$5:$H$15,4,FALSE)*VLOOKUP($H$9,'2025 Regression Curves'!$A$5:$H$15,6,FALSE))/(VLOOKUP($H$9,'2025 Regression Curves'!$A$5:$H$15,5,FALSE)+(VLOOKUP($H$9,'2025 Regression Curves'!$A$5:$H$15,6,FALSE))))))</f>
        <v>7.9998453533165731E-2</v>
      </c>
    </row>
    <row r="25" spans="3:14" s="2" customFormat="1" ht="18" x14ac:dyDescent="0.25">
      <c r="C25" s="197" t="s">
        <v>18</v>
      </c>
      <c r="D25" s="197"/>
      <c r="E25" s="197"/>
      <c r="F25" s="197"/>
      <c r="G25" s="27"/>
      <c r="H25" s="69">
        <f>IF(((VLOOKUP($H$9,'2025 Regression Curves'!$A$5:$H$15,2,FALSE)*H21)/(VLOOKUP($H$9,'2025 Regression Curves'!$A$5:$H$15,3,FALSE)+H21))&gt;H15,H15,IF(H21&lt;=VLOOKUP($H$9,'2025 Regression Curves'!$A$5:$H$15,6,FALSE),((VLOOKUP($H$9,'2025 Regression Curves'!$A$5:$H$15,2,FALSE)*H21)/(VLOOKUP($H$9,'2025 Regression Curves'!$A$5:$H$15,3,FALSE)+H21)),((VLOOKUP($H$9,'2025 Regression Curves'!$A$5:$H$15,2,FALSE)*VLOOKUP($H$9,'2025 Regression Curves'!$A$5:$H$15,6,FALSE))/(VLOOKUP($H$9,'2025 Regression Curves'!$A$5:$H$15,3,FALSE)+(VLOOKUP($H$9,'2025 Regression Curves'!$A$5:$H$15,6,FALSE))))))</f>
        <v>0.11931818181818181</v>
      </c>
      <c r="I25" s="69">
        <f>IF(((VLOOKUP($H$9,'2025 Regression Curves'!$A$5:$H$15,2,FALSE)*I21)/(VLOOKUP($H$9,'2025 Regression Curves'!$A$5:$H$15,3,FALSE)+I21))&gt;I15,I15,IF(I21&lt;=VLOOKUP($H$9,'2025 Regression Curves'!$A$5:$H$15,6,FALSE),((VLOOKUP($H$9,'2025 Regression Curves'!$A$5:$H$15,2,FALSE)*I21)/(VLOOKUP($H$9,'2025 Regression Curves'!$A$5:$H$15,3,FALSE)+I21)),((VLOOKUP($H$9,'2025 Regression Curves'!$A$5:$H$15,2,FALSE)*VLOOKUP($H$9,'2025 Regression Curves'!$A$5:$H$15,6,FALSE))/(VLOOKUP($H$9,'2025 Regression Curves'!$A$5:$H$15,3,FALSE)+(VLOOKUP($H$9,'2025 Regression Curves'!$A$5:$H$15,6,FALSE))))))</f>
        <v>0.16798551533366554</v>
      </c>
      <c r="J25" s="69">
        <f>IF(((VLOOKUP($H$9,'2025 Regression Curves'!$A$5:$H$15,2,FALSE)*J21)/(VLOOKUP($H$9,'2025 Regression Curves'!$A$5:$H$15,3,FALSE)+J21))&gt;J15,J15,IF(J21&lt;=VLOOKUP($H$9,'2025 Regression Curves'!$A$5:$H$15,6,FALSE),((VLOOKUP($H$9,'2025 Regression Curves'!$A$5:$H$15,2,FALSE)*J21)/(VLOOKUP($H$9,'2025 Regression Curves'!$A$5:$H$15,3,FALSE)+J21)),((VLOOKUP($H$9,'2025 Regression Curves'!$A$5:$H$15,2,FALSE)*VLOOKUP($H$9,'2025 Regression Curves'!$A$5:$H$15,6,FALSE))/(VLOOKUP($H$9,'2025 Regression Curves'!$A$5:$H$15,3,FALSE)+(VLOOKUP($H$9,'2025 Regression Curves'!$A$5:$H$15,6,FALSE))))))</f>
        <v>0.16798551533366554</v>
      </c>
      <c r="K25" s="69">
        <f>IF(((VLOOKUP($H$9,'2025 Regression Curves'!$A$5:$H$15,2,FALSE)*K21)/(VLOOKUP($H$9,'2025 Regression Curves'!$A$5:$H$15,3,FALSE)+K21))&gt;K15,K15,IF(K21&lt;=VLOOKUP($H$9,'2025 Regression Curves'!$A$5:$H$15,6,FALSE),((VLOOKUP($H$9,'2025 Regression Curves'!$A$5:$H$15,2,FALSE)*K21)/(VLOOKUP($H$9,'2025 Regression Curves'!$A$5:$H$15,3,FALSE)+K21)),((VLOOKUP($H$9,'2025 Regression Curves'!$A$5:$H$15,2,FALSE)*VLOOKUP($H$9,'2025 Regression Curves'!$A$5:$H$15,6,FALSE))/(VLOOKUP($H$9,'2025 Regression Curves'!$A$5:$H$15,3,FALSE)+(VLOOKUP($H$9,'2025 Regression Curves'!$A$5:$H$15,6,FALSE))))))</f>
        <v>0.13502990188484945</v>
      </c>
      <c r="L25" s="69">
        <f>IF(((VLOOKUP($H$9,'2025 Regression Curves'!$A$5:$H$15,2,FALSE)*L21)/(VLOOKUP($H$9,'2025 Regression Curves'!$A$5:$H$15,3,FALSE)+L21))&gt;L15,L15,IF(L21&lt;=VLOOKUP($H$9,'2025 Regression Curves'!$A$5:$H$15,6,FALSE),((VLOOKUP($H$9,'2025 Regression Curves'!$A$5:$H$15,2,FALSE)*L21)/(VLOOKUP($H$9,'2025 Regression Curves'!$A$5:$H$15,3,FALSE)+L21)),((VLOOKUP($H$9,'2025 Regression Curves'!$A$5:$H$15,2,FALSE)*VLOOKUP($H$9,'2025 Regression Curves'!$A$5:$H$15,6,FALSE))/(VLOOKUP($H$9,'2025 Regression Curves'!$A$5:$H$15,3,FALSE)+(VLOOKUP($H$9,'2025 Regression Curves'!$A$5:$H$15,6,FALSE))))))</f>
        <v>0.12296790169722498</v>
      </c>
      <c r="M25" s="69">
        <f>IF(((VLOOKUP($H$9,'2025 Regression Curves'!$A$5:$H$15,2,FALSE)*M21)/(VLOOKUP($H$9,'2025 Regression Curves'!$A$5:$H$15,3,FALSE)+M21))&gt;M15,M15,IF(M21&lt;=VLOOKUP($H$9,'2025 Regression Curves'!$A$5:$H$15,6,FALSE),((VLOOKUP($H$9,'2025 Regression Curves'!$A$5:$H$15,2,FALSE)*M21)/(VLOOKUP($H$9,'2025 Regression Curves'!$A$5:$H$15,3,FALSE)+M21)),((VLOOKUP($H$9,'2025 Regression Curves'!$A$5:$H$15,2,FALSE)*VLOOKUP($H$9,'2025 Regression Curves'!$A$5:$H$15,6,FALSE))/(VLOOKUP($H$9,'2025 Regression Curves'!$A$5:$H$15,3,FALSE)+(VLOOKUP($H$9,'2025 Regression Curves'!$A$5:$H$15,6,FALSE))))))</f>
        <v>0.10843801590914431</v>
      </c>
      <c r="N25" s="69">
        <f>IF(((VLOOKUP($H$9,'2025 Regression Curves'!$A$5:$H$15,2,FALSE)*N21)/(VLOOKUP($H$9,'2025 Regression Curves'!$A$5:$H$15,3,FALSE)+N21))&gt;N15,N15,IF(N21&lt;=VLOOKUP($H$9,'2025 Regression Curves'!$A$5:$H$15,6,FALSE),((VLOOKUP($H$9,'2025 Regression Curves'!$A$5:$H$15,2,FALSE)*N21)/(VLOOKUP($H$9,'2025 Regression Curves'!$A$5:$H$15,3,FALSE)+N21)),((VLOOKUP($H$9,'2025 Regression Curves'!$A$5:$H$15,2,FALSE)*VLOOKUP($H$9,'2025 Regression Curves'!$A$5:$H$15,6,FALSE))/(VLOOKUP($H$9,'2025 Regression Curves'!$A$5:$H$15,3,FALSE)+(VLOOKUP($H$9,'2025 Regression Curves'!$A$5:$H$15,6,FALSE))))))</f>
        <v>9.0596539257644951E-2</v>
      </c>
    </row>
    <row r="26" spans="3:14" s="2" customFormat="1" ht="18" x14ac:dyDescent="0.25">
      <c r="C26" s="57"/>
      <c r="D26" s="57"/>
      <c r="E26" s="57"/>
      <c r="F26" s="147" t="s">
        <v>53</v>
      </c>
      <c r="G26" s="3"/>
      <c r="H26" s="77" t="str">
        <f>IF(H25=H15,"Max release of Phytate P"," ")</f>
        <v>Max release of Phytate P</v>
      </c>
      <c r="I26" s="77" t="str">
        <f t="shared" ref="I26:N26" si="11">IF(I25=I15,"Max release of Phytate P"," ")</f>
        <v xml:space="preserve"> </v>
      </c>
      <c r="J26" s="77" t="str">
        <f t="shared" si="11"/>
        <v xml:space="preserve"> </v>
      </c>
      <c r="K26" s="77" t="str">
        <f t="shared" si="11"/>
        <v xml:space="preserve"> </v>
      </c>
      <c r="L26" s="77" t="str">
        <f t="shared" si="11"/>
        <v xml:space="preserve"> </v>
      </c>
      <c r="M26" s="77" t="str">
        <f t="shared" si="11"/>
        <v xml:space="preserve"> </v>
      </c>
      <c r="N26" s="77" t="str">
        <f t="shared" si="11"/>
        <v xml:space="preserve"> </v>
      </c>
    </row>
    <row r="27" spans="3:14" s="2" customFormat="1" ht="18" x14ac:dyDescent="0.25">
      <c r="C27" s="57"/>
      <c r="D27" s="57"/>
      <c r="E27" s="57"/>
      <c r="F27" s="147" t="s">
        <v>54</v>
      </c>
      <c r="G27" s="3"/>
      <c r="H27" s="77" t="str">
        <f>IF(H21&gt;VLOOKUP($H$9,'2025 Regression Curves'!$A$5:$H$15,6,FALSE),"Upper limit of phytase release data"," ")</f>
        <v xml:space="preserve"> </v>
      </c>
      <c r="I27" s="77" t="str">
        <f>IF(I21&gt;VLOOKUP($H$9,'2025 Regression Curves'!$A$5:$H$15,6,FALSE),"Upper limit of phytase release data"," ")</f>
        <v xml:space="preserve"> </v>
      </c>
      <c r="J27" s="77" t="str">
        <f>IF(J21&gt;VLOOKUP($H$9,'2025 Regression Curves'!$A$5:$H$15,6,FALSE),"Upper limit of phytase release data"," ")</f>
        <v xml:space="preserve"> </v>
      </c>
      <c r="K27" s="77" t="str">
        <f>IF(K21&gt;VLOOKUP($H$9,'2025 Regression Curves'!$A$5:$H$15,6,FALSE),"Upper limit of phytase release data"," ")</f>
        <v xml:space="preserve"> </v>
      </c>
      <c r="L27" s="77" t="str">
        <f>IF(L21&gt;VLOOKUP($H$9,'2025 Regression Curves'!$A$5:$H$15,6,FALSE),"Upper limit of phytase release data"," ")</f>
        <v xml:space="preserve"> </v>
      </c>
      <c r="M27" s="77" t="str">
        <f>IF(M21&gt;VLOOKUP($H$9,'2025 Regression Curves'!$A$5:$H$15,6,FALSE),"Upper limit of phytase release data"," ")</f>
        <v xml:space="preserve"> </v>
      </c>
      <c r="N27" s="77" t="str">
        <f>IF(N21&gt;VLOOKUP($H$9,'2025 Regression Curves'!$A$5:$H$15,6,FALSE),"Upper limit of phytase release data"," ")</f>
        <v xml:space="preserve"> </v>
      </c>
    </row>
    <row r="28" spans="3:14" s="2" customFormat="1" ht="18" x14ac:dyDescent="0.25"/>
    <row r="29" spans="3:14" s="2" customFormat="1" ht="18" x14ac:dyDescent="0.25">
      <c r="G29" s="20">
        <v>1</v>
      </c>
      <c r="H29" s="25" t="s">
        <v>39</v>
      </c>
    </row>
    <row r="30" spans="3:14" s="2" customFormat="1" ht="18" x14ac:dyDescent="0.25">
      <c r="H30" s="25" t="s">
        <v>40</v>
      </c>
    </row>
    <row r="31" spans="3:14" s="2" customFormat="1" ht="18" x14ac:dyDescent="0.25">
      <c r="G31" s="20">
        <v>2</v>
      </c>
      <c r="H31" s="25" t="s">
        <v>56</v>
      </c>
    </row>
    <row r="32" spans="3:14" s="2" customFormat="1" ht="18" x14ac:dyDescent="0.25">
      <c r="G32" s="20">
        <v>3</v>
      </c>
      <c r="H32" s="25" t="s">
        <v>77</v>
      </c>
    </row>
    <row r="33" spans="3:8" s="2" customFormat="1" ht="18" x14ac:dyDescent="0.25"/>
    <row r="34" spans="3:8" s="2" customFormat="1" ht="18" x14ac:dyDescent="0.25"/>
    <row r="35" spans="3:8" s="2" customFormat="1" ht="18" x14ac:dyDescent="0.25"/>
    <row r="36" spans="3:8" s="2" customFormat="1" ht="18" x14ac:dyDescent="0.25"/>
    <row r="37" spans="3:8" s="2" customFormat="1" ht="18" x14ac:dyDescent="0.25"/>
    <row r="38" spans="3:8" s="2" customFormat="1" ht="18" x14ac:dyDescent="0.25"/>
    <row r="39" spans="3:8" s="2" customFormat="1" ht="18" x14ac:dyDescent="0.25"/>
    <row r="40" spans="3:8" s="2" customFormat="1" ht="18" x14ac:dyDescent="0.25"/>
    <row r="41" spans="3:8" s="2" customFormat="1" ht="18" x14ac:dyDescent="0.25"/>
    <row r="42" spans="3:8" s="2" customFormat="1" ht="18" x14ac:dyDescent="0.25"/>
    <row r="43" spans="3:8" s="2" customFormat="1" ht="18" x14ac:dyDescent="0.25">
      <c r="C43" s="4"/>
      <c r="D43" s="4"/>
      <c r="E43" s="4"/>
      <c r="F43" s="4"/>
      <c r="G43" s="4"/>
      <c r="H43" s="4"/>
    </row>
  </sheetData>
  <sheetProtection sheet="1" objects="1" scenarios="1"/>
  <protectedRanges>
    <protectedRange sqref="H18:N19" name="Range3"/>
    <protectedRange sqref="H9:I10" name="Range2"/>
    <protectedRange sqref="H7" name="Range1"/>
  </protectedRanges>
  <mergeCells count="9">
    <mergeCell ref="C24:F24"/>
    <mergeCell ref="C25:F25"/>
    <mergeCell ref="C9:F9"/>
    <mergeCell ref="F2:N5"/>
    <mergeCell ref="H7:I7"/>
    <mergeCell ref="H9:I9"/>
    <mergeCell ref="H10:I10"/>
    <mergeCell ref="H12:I12"/>
    <mergeCell ref="K7:L7"/>
  </mergeCells>
  <pageMargins left="0.25" right="0.25" top="0.75" bottom="0.75" header="0.3" footer="0.3"/>
  <pageSetup scale="5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t desired phytase product" prompt="_x000a_" xr:uid="{00000000-0002-0000-0500-000000000000}">
          <x14:formula1>
            <xm:f>'2025 Regression Curves'!$A$5:$A$15</xm:f>
          </x14:formula1>
          <xm:sqref>H9:I9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E3:O55"/>
  <sheetViews>
    <sheetView workbookViewId="0"/>
  </sheetViews>
  <sheetFormatPr defaultColWidth="9" defaultRowHeight="15.75" x14ac:dyDescent="0.25"/>
  <cols>
    <col min="1" max="4" width="9" style="4"/>
    <col min="5" max="5" width="42.75" style="4" bestFit="1" customWidth="1"/>
    <col min="6" max="6" width="14.75" style="4" bestFit="1" customWidth="1"/>
    <col min="7" max="7" width="14.75" style="4" customWidth="1"/>
    <col min="8" max="8" width="3.875" style="4" customWidth="1"/>
    <col min="9" max="9" width="42.75" style="4" bestFit="1" customWidth="1"/>
    <col min="10" max="10" width="14.75" style="4" customWidth="1"/>
    <col min="11" max="12" width="9" style="4"/>
    <col min="13" max="13" width="12" style="4" customWidth="1"/>
    <col min="14" max="14" width="26.375" style="4" customWidth="1"/>
    <col min="15" max="15" width="23.125" style="4" customWidth="1"/>
    <col min="16" max="16384" width="9" style="4"/>
  </cols>
  <sheetData>
    <row r="3" spans="5:15" ht="15.75" customHeight="1" x14ac:dyDescent="0.25">
      <c r="E3" s="199" t="s">
        <v>78</v>
      </c>
      <c r="F3" s="199"/>
      <c r="G3" s="199"/>
      <c r="H3" s="199"/>
      <c r="I3" s="199"/>
      <c r="J3" s="199"/>
      <c r="K3" s="199"/>
      <c r="L3" s="199"/>
      <c r="M3" s="199"/>
      <c r="N3" s="199"/>
      <c r="O3" s="199"/>
    </row>
    <row r="4" spans="5:15" ht="15.75" customHeight="1" x14ac:dyDescent="0.25">
      <c r="E4" s="199"/>
      <c r="F4" s="199"/>
      <c r="G4" s="199"/>
      <c r="H4" s="199"/>
      <c r="I4" s="199"/>
      <c r="J4" s="199"/>
      <c r="K4" s="199"/>
      <c r="L4" s="199"/>
      <c r="M4" s="199"/>
      <c r="N4" s="199"/>
      <c r="O4" s="199"/>
    </row>
    <row r="5" spans="5:15" ht="15.75" customHeight="1" x14ac:dyDescent="0.25">
      <c r="E5" s="199"/>
      <c r="F5" s="199"/>
      <c r="G5" s="199"/>
      <c r="H5" s="199"/>
      <c r="I5" s="199"/>
      <c r="J5" s="199"/>
      <c r="K5" s="199"/>
      <c r="L5" s="199"/>
      <c r="M5" s="199"/>
      <c r="N5" s="199"/>
      <c r="O5" s="199"/>
    </row>
    <row r="6" spans="5:15" ht="15.75" customHeight="1" x14ac:dyDescent="0.25">
      <c r="E6" s="199"/>
      <c r="F6" s="199"/>
      <c r="G6" s="199"/>
      <c r="H6" s="199"/>
      <c r="I6" s="199"/>
      <c r="J6" s="199"/>
      <c r="K6" s="199"/>
      <c r="L6" s="199"/>
      <c r="M6" s="199"/>
      <c r="N6" s="199"/>
      <c r="O6" s="199"/>
    </row>
    <row r="7" spans="5:15" ht="25.5" x14ac:dyDescent="0.35">
      <c r="E7" s="84"/>
      <c r="F7" s="84"/>
      <c r="G7" s="84"/>
      <c r="H7" s="84"/>
      <c r="I7" s="84"/>
      <c r="J7" s="84"/>
      <c r="K7" s="84"/>
      <c r="L7" s="84"/>
      <c r="M7" s="84"/>
    </row>
    <row r="8" spans="5:15" ht="23.25" x14ac:dyDescent="0.35">
      <c r="E8" s="204" t="s">
        <v>79</v>
      </c>
      <c r="F8" s="204"/>
      <c r="G8" s="204"/>
      <c r="H8" s="9"/>
      <c r="I8" s="204" t="s">
        <v>80</v>
      </c>
      <c r="J8" s="204"/>
      <c r="K8" s="204"/>
      <c r="N8" s="205" t="s">
        <v>81</v>
      </c>
      <c r="O8" s="205"/>
    </row>
    <row r="9" spans="5:15" ht="19.5" thickBot="1" x14ac:dyDescent="0.3">
      <c r="E9" s="23" t="s">
        <v>82</v>
      </c>
      <c r="F9" s="12" t="s">
        <v>83</v>
      </c>
      <c r="G9" s="87" t="s">
        <v>84</v>
      </c>
      <c r="H9" s="10"/>
      <c r="I9" s="23" t="s">
        <v>82</v>
      </c>
      <c r="J9" s="12" t="s">
        <v>83</v>
      </c>
      <c r="K9" s="87" t="s">
        <v>84</v>
      </c>
      <c r="N9" s="203" t="s">
        <v>85</v>
      </c>
      <c r="O9" s="203"/>
    </row>
    <row r="10" spans="5:15" ht="18.75" thickBot="1" x14ac:dyDescent="0.3">
      <c r="E10" s="21" t="s">
        <v>86</v>
      </c>
      <c r="F10" s="10">
        <v>0.22</v>
      </c>
      <c r="G10" s="85">
        <v>17</v>
      </c>
      <c r="H10" s="10"/>
      <c r="I10" s="21" t="s">
        <v>87</v>
      </c>
      <c r="J10" s="10">
        <v>0.18</v>
      </c>
      <c r="K10" s="85">
        <v>55</v>
      </c>
      <c r="N10" s="23" t="s">
        <v>88</v>
      </c>
      <c r="O10" s="12" t="s">
        <v>83</v>
      </c>
    </row>
    <row r="11" spans="5:15" ht="18" x14ac:dyDescent="0.25">
      <c r="E11" s="22" t="s">
        <v>89</v>
      </c>
      <c r="F11" s="11">
        <v>0.26</v>
      </c>
      <c r="G11" s="86">
        <v>3</v>
      </c>
      <c r="H11" s="10"/>
      <c r="I11" s="22" t="s">
        <v>86</v>
      </c>
      <c r="J11" s="11">
        <v>0.2</v>
      </c>
      <c r="K11" s="86">
        <v>2</v>
      </c>
      <c r="N11" s="21" t="s">
        <v>90</v>
      </c>
      <c r="O11" s="10" t="s">
        <v>91</v>
      </c>
    </row>
    <row r="12" spans="5:15" ht="18" x14ac:dyDescent="0.25">
      <c r="E12" s="21" t="s">
        <v>92</v>
      </c>
      <c r="F12" s="10">
        <v>0.23</v>
      </c>
      <c r="G12" s="85">
        <v>1</v>
      </c>
      <c r="H12" s="10"/>
      <c r="I12" s="21" t="s">
        <v>93</v>
      </c>
      <c r="J12" s="10">
        <v>0.89</v>
      </c>
      <c r="K12" s="85">
        <v>10</v>
      </c>
      <c r="N12" s="22" t="s">
        <v>94</v>
      </c>
      <c r="O12" s="11" t="s">
        <v>95</v>
      </c>
    </row>
    <row r="13" spans="5:15" ht="18" x14ac:dyDescent="0.25">
      <c r="E13" s="22" t="s">
        <v>96</v>
      </c>
      <c r="F13" s="11">
        <v>0.35</v>
      </c>
      <c r="G13" s="86">
        <v>1</v>
      </c>
      <c r="H13" s="10"/>
      <c r="I13" s="22" t="s">
        <v>97</v>
      </c>
      <c r="J13" s="11">
        <v>0.87</v>
      </c>
      <c r="K13" s="86">
        <v>77</v>
      </c>
      <c r="N13" s="24" t="s">
        <v>98</v>
      </c>
      <c r="O13" s="7" t="s">
        <v>99</v>
      </c>
    </row>
    <row r="14" spans="5:15" ht="18" x14ac:dyDescent="0.25">
      <c r="E14" s="21" t="s">
        <v>100</v>
      </c>
      <c r="F14" s="10">
        <v>0.79</v>
      </c>
      <c r="G14" s="85">
        <v>1</v>
      </c>
      <c r="H14" s="10"/>
      <c r="I14" s="21" t="s">
        <v>101</v>
      </c>
      <c r="J14" s="10">
        <v>0.25</v>
      </c>
      <c r="K14" s="85">
        <v>3</v>
      </c>
      <c r="N14" s="22" t="s">
        <v>102</v>
      </c>
      <c r="O14" s="11" t="s">
        <v>103</v>
      </c>
    </row>
    <row r="15" spans="5:15" ht="18" x14ac:dyDescent="0.25">
      <c r="E15" s="22" t="s">
        <v>104</v>
      </c>
      <c r="F15" s="11">
        <v>0.87</v>
      </c>
      <c r="G15" s="86">
        <v>2</v>
      </c>
      <c r="H15" s="10"/>
      <c r="I15" s="22" t="s">
        <v>105</v>
      </c>
      <c r="J15" s="11">
        <v>0.22</v>
      </c>
      <c r="K15" s="86">
        <v>4</v>
      </c>
      <c r="N15" s="24" t="s">
        <v>106</v>
      </c>
      <c r="O15" s="7" t="s">
        <v>107</v>
      </c>
    </row>
    <row r="16" spans="5:15" ht="18" x14ac:dyDescent="0.25">
      <c r="E16" s="21" t="s">
        <v>108</v>
      </c>
      <c r="F16" s="10">
        <v>0.65</v>
      </c>
      <c r="G16" s="85">
        <v>5</v>
      </c>
      <c r="H16" s="10"/>
      <c r="I16" s="21" t="s">
        <v>109</v>
      </c>
      <c r="J16" s="10">
        <v>0.19</v>
      </c>
      <c r="K16" s="85">
        <v>33</v>
      </c>
      <c r="N16" s="22" t="s">
        <v>110</v>
      </c>
      <c r="O16" s="11">
        <v>0.23</v>
      </c>
    </row>
    <row r="17" spans="5:15" ht="18.75" thickBot="1" x14ac:dyDescent="0.3">
      <c r="E17" s="22" t="s">
        <v>111</v>
      </c>
      <c r="F17" s="11">
        <v>0.04</v>
      </c>
      <c r="G17" s="86">
        <v>1</v>
      </c>
      <c r="H17" s="10"/>
      <c r="I17" s="22" t="s">
        <v>112</v>
      </c>
      <c r="J17" s="11">
        <v>0.15</v>
      </c>
      <c r="K17" s="86">
        <v>6</v>
      </c>
      <c r="N17" s="23" t="s">
        <v>113</v>
      </c>
      <c r="O17" s="12" t="s">
        <v>114</v>
      </c>
    </row>
    <row r="18" spans="5:15" ht="18" x14ac:dyDescent="0.25">
      <c r="E18" s="21" t="s">
        <v>115</v>
      </c>
      <c r="F18" s="10">
        <v>0.04</v>
      </c>
      <c r="G18" s="85">
        <v>1</v>
      </c>
      <c r="H18" s="10"/>
      <c r="I18" s="21" t="s">
        <v>116</v>
      </c>
      <c r="J18" s="10">
        <v>0.32</v>
      </c>
      <c r="K18" s="85">
        <v>6</v>
      </c>
    </row>
    <row r="19" spans="5:15" ht="18" x14ac:dyDescent="0.25">
      <c r="E19" s="22" t="s">
        <v>117</v>
      </c>
      <c r="F19" s="11">
        <v>0.26</v>
      </c>
      <c r="G19" s="86">
        <v>1</v>
      </c>
      <c r="H19" s="10"/>
      <c r="I19" s="22" t="s">
        <v>118</v>
      </c>
      <c r="J19" s="11">
        <v>0.04</v>
      </c>
      <c r="K19" s="86">
        <v>1</v>
      </c>
    </row>
    <row r="20" spans="5:15" ht="18" x14ac:dyDescent="0.25">
      <c r="E20" s="21" t="s">
        <v>119</v>
      </c>
      <c r="F20" s="10">
        <v>0.21</v>
      </c>
      <c r="G20" s="85">
        <v>10</v>
      </c>
      <c r="H20" s="10"/>
      <c r="I20" s="21" t="s">
        <v>120</v>
      </c>
      <c r="J20" s="10">
        <v>0.11</v>
      </c>
      <c r="K20" s="85">
        <v>2</v>
      </c>
    </row>
    <row r="21" spans="5:15" ht="18" x14ac:dyDescent="0.25">
      <c r="E21" s="22" t="s">
        <v>121</v>
      </c>
      <c r="F21" s="11">
        <v>0.16</v>
      </c>
      <c r="G21" s="86">
        <v>2</v>
      </c>
      <c r="H21" s="10"/>
      <c r="I21" s="22" t="s">
        <v>122</v>
      </c>
      <c r="J21" s="11">
        <v>0.84</v>
      </c>
      <c r="K21" s="86">
        <v>3</v>
      </c>
    </row>
    <row r="22" spans="5:15" ht="18" x14ac:dyDescent="0.25">
      <c r="E22" s="21" t="s">
        <v>123</v>
      </c>
      <c r="F22" s="10">
        <v>0.26</v>
      </c>
      <c r="G22" s="85">
        <v>1</v>
      </c>
      <c r="H22" s="10"/>
      <c r="I22" s="21" t="s">
        <v>124</v>
      </c>
      <c r="J22" s="10">
        <v>0.54</v>
      </c>
      <c r="K22" s="85">
        <v>5</v>
      </c>
    </row>
    <row r="23" spans="5:15" ht="18" x14ac:dyDescent="0.25">
      <c r="E23" s="22" t="s">
        <v>125</v>
      </c>
      <c r="F23" s="11">
        <v>0.26</v>
      </c>
      <c r="G23" s="86" t="s">
        <v>126</v>
      </c>
      <c r="H23" s="10"/>
      <c r="I23" s="22" t="s">
        <v>127</v>
      </c>
      <c r="J23" s="11">
        <v>0.2</v>
      </c>
      <c r="K23" s="86">
        <v>3</v>
      </c>
    </row>
    <row r="24" spans="5:15" ht="18" x14ac:dyDescent="0.25">
      <c r="E24" s="21" t="s">
        <v>128</v>
      </c>
      <c r="F24" s="10">
        <v>0.26</v>
      </c>
      <c r="G24" s="85" t="s">
        <v>126</v>
      </c>
      <c r="H24" s="10"/>
      <c r="I24" s="21" t="s">
        <v>129</v>
      </c>
      <c r="J24" s="10">
        <v>0.47</v>
      </c>
      <c r="K24" s="85">
        <v>6</v>
      </c>
    </row>
    <row r="25" spans="5:15" ht="18" x14ac:dyDescent="0.25">
      <c r="E25" s="22" t="s">
        <v>130</v>
      </c>
      <c r="F25" s="11">
        <v>0.11</v>
      </c>
      <c r="G25" s="86">
        <v>1</v>
      </c>
      <c r="H25" s="10"/>
      <c r="I25" s="22" t="s">
        <v>131</v>
      </c>
      <c r="J25" s="11">
        <v>0.57999999999999996</v>
      </c>
      <c r="K25" s="86">
        <v>1</v>
      </c>
    </row>
    <row r="26" spans="5:15" ht="18" x14ac:dyDescent="0.25">
      <c r="E26" s="21" t="s">
        <v>132</v>
      </c>
      <c r="F26" s="10">
        <v>1.07</v>
      </c>
      <c r="G26" s="85">
        <v>1</v>
      </c>
      <c r="H26" s="10"/>
      <c r="I26" s="21" t="s">
        <v>133</v>
      </c>
      <c r="J26" s="10">
        <v>0.75</v>
      </c>
      <c r="K26" s="85">
        <v>2</v>
      </c>
    </row>
    <row r="27" spans="5:15" ht="18" x14ac:dyDescent="0.25">
      <c r="E27" s="22" t="s">
        <v>134</v>
      </c>
      <c r="F27" s="11">
        <v>0.62</v>
      </c>
      <c r="G27" s="86">
        <v>2</v>
      </c>
      <c r="H27" s="10"/>
      <c r="I27" s="22" t="s">
        <v>135</v>
      </c>
      <c r="J27" s="11">
        <v>0.17</v>
      </c>
      <c r="K27" s="86">
        <v>1</v>
      </c>
    </row>
    <row r="28" spans="5:15" ht="18" x14ac:dyDescent="0.25">
      <c r="E28" s="21" t="s">
        <v>136</v>
      </c>
      <c r="F28" s="10">
        <v>0.49</v>
      </c>
      <c r="G28" s="85">
        <v>1</v>
      </c>
      <c r="H28" s="10"/>
      <c r="I28" s="21" t="s">
        <v>137</v>
      </c>
      <c r="J28" s="10">
        <v>0.21</v>
      </c>
      <c r="K28" s="85">
        <v>5</v>
      </c>
    </row>
    <row r="29" spans="5:15" ht="18" x14ac:dyDescent="0.25">
      <c r="E29" s="22" t="s">
        <v>138</v>
      </c>
      <c r="F29" s="11">
        <v>0.21</v>
      </c>
      <c r="G29" s="86">
        <v>9</v>
      </c>
      <c r="H29" s="10"/>
      <c r="I29" s="22" t="s">
        <v>139</v>
      </c>
      <c r="J29" s="11">
        <v>0.04</v>
      </c>
      <c r="K29" s="86">
        <v>2</v>
      </c>
    </row>
    <row r="30" spans="5:15" ht="18" x14ac:dyDescent="0.25">
      <c r="E30" s="21" t="s">
        <v>140</v>
      </c>
      <c r="F30" s="10">
        <v>0.01</v>
      </c>
      <c r="G30" s="85">
        <v>1</v>
      </c>
      <c r="H30" s="10"/>
      <c r="I30" s="21" t="s">
        <v>141</v>
      </c>
      <c r="J30" s="10">
        <v>0.19</v>
      </c>
      <c r="K30" s="85">
        <v>1</v>
      </c>
    </row>
    <row r="31" spans="5:15" ht="18" x14ac:dyDescent="0.25">
      <c r="E31" s="22" t="s">
        <v>141</v>
      </c>
      <c r="F31" s="11">
        <v>0.19</v>
      </c>
      <c r="G31" s="86">
        <v>2</v>
      </c>
      <c r="H31" s="10"/>
      <c r="I31" s="22" t="s">
        <v>142</v>
      </c>
      <c r="J31" s="11">
        <v>0.36</v>
      </c>
      <c r="K31" s="86">
        <v>4</v>
      </c>
    </row>
    <row r="32" spans="5:15" ht="18" x14ac:dyDescent="0.25">
      <c r="E32" s="21" t="s">
        <v>143</v>
      </c>
      <c r="F32" s="10">
        <v>0.17</v>
      </c>
      <c r="G32" s="85">
        <v>7</v>
      </c>
      <c r="H32" s="10"/>
      <c r="I32" s="21" t="s">
        <v>144</v>
      </c>
      <c r="J32" s="10">
        <v>0.33</v>
      </c>
      <c r="K32" s="85">
        <v>3</v>
      </c>
    </row>
    <row r="33" spans="5:11" ht="18" x14ac:dyDescent="0.25">
      <c r="E33" s="22" t="s">
        <v>145</v>
      </c>
      <c r="F33" s="11">
        <v>0.18</v>
      </c>
      <c r="G33" s="86">
        <v>1</v>
      </c>
      <c r="H33" s="10"/>
      <c r="I33" s="22" t="s">
        <v>146</v>
      </c>
      <c r="J33" s="11">
        <v>0.09</v>
      </c>
      <c r="K33" s="86">
        <v>8</v>
      </c>
    </row>
    <row r="34" spans="5:11" ht="18" x14ac:dyDescent="0.25">
      <c r="E34" s="21" t="s">
        <v>147</v>
      </c>
      <c r="F34" s="10">
        <v>1.74</v>
      </c>
      <c r="G34" s="85">
        <v>3</v>
      </c>
      <c r="H34" s="10"/>
      <c r="I34" s="21" t="s">
        <v>148</v>
      </c>
      <c r="J34" s="10">
        <v>1.66</v>
      </c>
      <c r="K34" s="85">
        <v>3</v>
      </c>
    </row>
    <row r="35" spans="5:11" ht="18" x14ac:dyDescent="0.25">
      <c r="E35" s="22" t="s">
        <v>149</v>
      </c>
      <c r="F35" s="11">
        <v>0.14000000000000001</v>
      </c>
      <c r="G35" s="86">
        <v>1</v>
      </c>
      <c r="H35" s="10"/>
      <c r="I35" s="22" t="s">
        <v>150</v>
      </c>
      <c r="J35" s="11">
        <v>2.11</v>
      </c>
      <c r="K35" s="86">
        <v>3</v>
      </c>
    </row>
    <row r="36" spans="5:11" ht="18" x14ac:dyDescent="0.25">
      <c r="E36" s="21" t="s">
        <v>151</v>
      </c>
      <c r="F36" s="10">
        <v>0.2</v>
      </c>
      <c r="G36" s="85">
        <v>1</v>
      </c>
      <c r="H36" s="10"/>
      <c r="I36" s="21" t="s">
        <v>152</v>
      </c>
      <c r="J36" s="10">
        <v>0.56000000000000005</v>
      </c>
      <c r="K36" s="85">
        <v>1</v>
      </c>
    </row>
    <row r="37" spans="5:11" ht="18" x14ac:dyDescent="0.25">
      <c r="E37" s="22" t="s">
        <v>153</v>
      </c>
      <c r="F37" s="11">
        <v>0.89</v>
      </c>
      <c r="G37" s="86">
        <v>1</v>
      </c>
      <c r="H37" s="10"/>
      <c r="I37" s="22" t="s">
        <v>154</v>
      </c>
      <c r="J37" s="11">
        <v>0.06</v>
      </c>
      <c r="K37" s="86">
        <v>2</v>
      </c>
    </row>
    <row r="38" spans="5:11" ht="18" x14ac:dyDescent="0.25">
      <c r="E38" s="21" t="s">
        <v>155</v>
      </c>
      <c r="F38" s="10">
        <v>0.18</v>
      </c>
      <c r="G38" s="85">
        <v>2</v>
      </c>
      <c r="H38" s="10"/>
      <c r="I38" s="21" t="s">
        <v>156</v>
      </c>
      <c r="J38" s="10">
        <v>0.22</v>
      </c>
      <c r="K38" s="85">
        <v>2</v>
      </c>
    </row>
    <row r="39" spans="5:11" ht="18" x14ac:dyDescent="0.25">
      <c r="E39" s="22" t="s">
        <v>157</v>
      </c>
      <c r="F39" s="11">
        <v>0.33</v>
      </c>
      <c r="G39" s="86">
        <v>1</v>
      </c>
      <c r="H39" s="10"/>
      <c r="I39" s="22" t="s">
        <v>155</v>
      </c>
      <c r="J39" s="11">
        <v>0.23</v>
      </c>
      <c r="K39" s="86">
        <v>6</v>
      </c>
    </row>
    <row r="40" spans="5:11" ht="18" x14ac:dyDescent="0.25">
      <c r="E40" s="21" t="s">
        <v>158</v>
      </c>
      <c r="F40" s="10">
        <v>0.36</v>
      </c>
      <c r="G40" s="85">
        <v>4</v>
      </c>
      <c r="H40" s="10"/>
      <c r="I40" s="21" t="s">
        <v>159</v>
      </c>
      <c r="J40" s="10">
        <v>0.39</v>
      </c>
      <c r="K40" s="85">
        <v>1</v>
      </c>
    </row>
    <row r="41" spans="5:11" ht="18" x14ac:dyDescent="0.25">
      <c r="E41" s="22" t="s">
        <v>160</v>
      </c>
      <c r="F41" s="11">
        <v>0.38</v>
      </c>
      <c r="G41" s="86">
        <v>20</v>
      </c>
      <c r="H41" s="10"/>
      <c r="I41" s="22" t="s">
        <v>161</v>
      </c>
      <c r="J41" s="11">
        <v>0.44</v>
      </c>
      <c r="K41" s="86">
        <v>52</v>
      </c>
    </row>
    <row r="42" spans="5:11" ht="18" x14ac:dyDescent="0.25">
      <c r="E42" s="21" t="s">
        <v>162</v>
      </c>
      <c r="F42" s="10">
        <v>0.08</v>
      </c>
      <c r="G42" s="85">
        <v>1</v>
      </c>
      <c r="H42" s="10"/>
      <c r="I42" s="21" t="s">
        <v>163</v>
      </c>
      <c r="J42" s="10">
        <v>0.47</v>
      </c>
      <c r="K42" s="85">
        <v>30</v>
      </c>
    </row>
    <row r="43" spans="5:11" ht="18" x14ac:dyDescent="0.25">
      <c r="E43" s="22" t="s">
        <v>164</v>
      </c>
      <c r="F43" s="11">
        <v>0.84</v>
      </c>
      <c r="G43" s="86">
        <v>1</v>
      </c>
      <c r="H43" s="10"/>
      <c r="I43" s="22" t="s">
        <v>165</v>
      </c>
      <c r="J43" s="11">
        <v>0.38</v>
      </c>
      <c r="K43" s="86">
        <v>4</v>
      </c>
    </row>
    <row r="44" spans="5:11" ht="18" x14ac:dyDescent="0.25">
      <c r="E44" s="21" t="s">
        <v>166</v>
      </c>
      <c r="F44" s="10">
        <v>0.89</v>
      </c>
      <c r="G44" s="85">
        <v>1</v>
      </c>
      <c r="H44" s="10"/>
      <c r="I44" s="21" t="s">
        <v>167</v>
      </c>
      <c r="J44" s="10">
        <v>0.25</v>
      </c>
      <c r="K44" s="85">
        <v>7</v>
      </c>
    </row>
    <row r="45" spans="5:11" ht="18" x14ac:dyDescent="0.25">
      <c r="E45" s="22" t="s">
        <v>168</v>
      </c>
      <c r="F45" s="11">
        <v>0.21</v>
      </c>
      <c r="G45" s="86">
        <v>5</v>
      </c>
      <c r="H45" s="10"/>
      <c r="I45" s="22" t="s">
        <v>169</v>
      </c>
      <c r="J45" s="11">
        <v>0.04</v>
      </c>
      <c r="K45" s="86">
        <v>2</v>
      </c>
    </row>
    <row r="46" spans="5:11" ht="18" x14ac:dyDescent="0.25">
      <c r="E46" s="21" t="s">
        <v>170</v>
      </c>
      <c r="F46" s="10">
        <v>0.22</v>
      </c>
      <c r="G46" s="85">
        <v>14</v>
      </c>
      <c r="H46" s="10"/>
      <c r="I46" s="21" t="s">
        <v>171</v>
      </c>
      <c r="J46" s="10">
        <v>0.56000000000000005</v>
      </c>
      <c r="K46" s="85">
        <v>1</v>
      </c>
    </row>
    <row r="47" spans="5:11" ht="18" x14ac:dyDescent="0.25">
      <c r="E47" s="22" t="s">
        <v>172</v>
      </c>
      <c r="F47" s="11">
        <v>0.2</v>
      </c>
      <c r="G47" s="86">
        <v>4</v>
      </c>
      <c r="H47" s="10"/>
      <c r="I47" s="22" t="s">
        <v>173</v>
      </c>
      <c r="J47" s="11">
        <v>0.81</v>
      </c>
      <c r="K47" s="86">
        <v>9</v>
      </c>
    </row>
    <row r="48" spans="5:11" ht="18" x14ac:dyDescent="0.25">
      <c r="E48" s="21" t="s">
        <v>174</v>
      </c>
      <c r="F48" s="10">
        <v>0.88</v>
      </c>
      <c r="G48" s="85">
        <v>1</v>
      </c>
      <c r="H48" s="10"/>
      <c r="I48" s="21" t="s">
        <v>175</v>
      </c>
      <c r="J48" s="10">
        <v>0.51</v>
      </c>
      <c r="K48" s="85">
        <v>1</v>
      </c>
    </row>
    <row r="49" spans="5:11" ht="18" x14ac:dyDescent="0.25">
      <c r="E49" s="22" t="s">
        <v>176</v>
      </c>
      <c r="F49" s="11">
        <v>0.61</v>
      </c>
      <c r="G49" s="86">
        <v>1</v>
      </c>
      <c r="H49" s="10"/>
      <c r="I49" s="22" t="s">
        <v>168</v>
      </c>
      <c r="J49" s="11">
        <v>0.21</v>
      </c>
      <c r="K49" s="86">
        <v>1</v>
      </c>
    </row>
    <row r="50" spans="5:11" ht="18.75" thickBot="1" x14ac:dyDescent="0.3">
      <c r="E50" s="23" t="s">
        <v>177</v>
      </c>
      <c r="F50" s="12">
        <v>0.21</v>
      </c>
      <c r="G50" s="152">
        <v>2</v>
      </c>
      <c r="H50" s="10"/>
      <c r="I50" s="21" t="s">
        <v>178</v>
      </c>
      <c r="J50" s="10">
        <v>0.27</v>
      </c>
      <c r="K50" s="85">
        <v>2</v>
      </c>
    </row>
    <row r="51" spans="5:11" ht="18" x14ac:dyDescent="0.25">
      <c r="E51" s="4" t="s">
        <v>179</v>
      </c>
      <c r="I51" s="21" t="s">
        <v>180</v>
      </c>
      <c r="J51" s="10">
        <v>0.57999999999999996</v>
      </c>
      <c r="K51" s="85">
        <v>1</v>
      </c>
    </row>
    <row r="52" spans="5:11" ht="18" x14ac:dyDescent="0.25">
      <c r="I52" s="22" t="s">
        <v>181</v>
      </c>
      <c r="J52" s="11">
        <v>0.25</v>
      </c>
      <c r="K52" s="86">
        <v>2</v>
      </c>
    </row>
    <row r="53" spans="5:11" ht="18" x14ac:dyDescent="0.25">
      <c r="I53" s="21" t="s">
        <v>182</v>
      </c>
      <c r="J53" s="10">
        <v>0.32</v>
      </c>
      <c r="K53" s="85">
        <v>1</v>
      </c>
    </row>
    <row r="54" spans="5:11" ht="18" x14ac:dyDescent="0.25">
      <c r="I54" s="22" t="s">
        <v>183</v>
      </c>
      <c r="J54" s="11">
        <v>0.28999999999999998</v>
      </c>
      <c r="K54" s="86">
        <v>1</v>
      </c>
    </row>
    <row r="55" spans="5:11" ht="18.75" thickBot="1" x14ac:dyDescent="0.3">
      <c r="I55" s="23" t="s">
        <v>184</v>
      </c>
      <c r="J55" s="12">
        <v>7.0000000000000007E-2</v>
      </c>
      <c r="K55" s="152">
        <v>1</v>
      </c>
    </row>
  </sheetData>
  <sheetProtection sheet="1" objects="1" scenarios="1"/>
  <mergeCells count="5">
    <mergeCell ref="N9:O9"/>
    <mergeCell ref="I8:K8"/>
    <mergeCell ref="N8:O8"/>
    <mergeCell ref="E8:G8"/>
    <mergeCell ref="E3:O6"/>
  </mergeCells>
  <pageMargins left="0.25" right="0.25" top="0.75" bottom="0.75" header="0.3" footer="0.3"/>
  <pageSetup scale="5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A52"/>
  <sheetViews>
    <sheetView topLeftCell="A9" workbookViewId="0">
      <selection activeCell="A30" sqref="A30"/>
    </sheetView>
  </sheetViews>
  <sheetFormatPr defaultRowHeight="15.75" x14ac:dyDescent="0.25"/>
  <cols>
    <col min="1" max="1" width="22.375" customWidth="1"/>
    <col min="7" max="7" width="13.5" bestFit="1" customWidth="1"/>
    <col min="8" max="8" width="17.25" bestFit="1" customWidth="1"/>
    <col min="9" max="9" width="24.125" customWidth="1"/>
    <col min="15" max="16" width="12.25" bestFit="1" customWidth="1"/>
    <col min="17" max="32" width="11.375" bestFit="1" customWidth="1"/>
    <col min="33" max="33" width="12.25" bestFit="1" customWidth="1"/>
  </cols>
  <sheetData>
    <row r="1" spans="1:53" ht="23.25" x14ac:dyDescent="0.35">
      <c r="A1" s="13" t="s">
        <v>185</v>
      </c>
    </row>
    <row r="2" spans="1:53" x14ac:dyDescent="0.25">
      <c r="B2" s="207" t="s">
        <v>186</v>
      </c>
      <c r="C2" s="207"/>
      <c r="D2" s="207"/>
      <c r="E2" s="207"/>
    </row>
    <row r="3" spans="1:53" x14ac:dyDescent="0.25">
      <c r="B3" s="206" t="s">
        <v>187</v>
      </c>
      <c r="C3" s="206"/>
      <c r="D3" s="206" t="s">
        <v>38</v>
      </c>
      <c r="E3" s="206"/>
      <c r="Q3" s="153"/>
    </row>
    <row r="4" spans="1:53" ht="16.5" thickBot="1" x14ac:dyDescent="0.3">
      <c r="A4" s="112" t="s">
        <v>188</v>
      </c>
      <c r="B4" s="108" t="s">
        <v>189</v>
      </c>
      <c r="C4" s="108" t="s">
        <v>190</v>
      </c>
      <c r="D4" s="108" t="s">
        <v>189</v>
      </c>
      <c r="E4" s="108" t="s">
        <v>190</v>
      </c>
      <c r="F4" s="108" t="s">
        <v>191</v>
      </c>
      <c r="G4" s="108" t="s">
        <v>192</v>
      </c>
      <c r="H4" s="108" t="s">
        <v>193</v>
      </c>
      <c r="O4" s="89">
        <v>200</v>
      </c>
      <c r="P4" s="89">
        <f>O4+100</f>
        <v>300</v>
      </c>
      <c r="Q4" s="89">
        <f t="shared" ref="Q4:BA4" si="0">P4+100</f>
        <v>400</v>
      </c>
      <c r="R4" s="89">
        <f t="shared" si="0"/>
        <v>500</v>
      </c>
      <c r="S4" s="89">
        <f t="shared" si="0"/>
        <v>600</v>
      </c>
      <c r="T4" s="89">
        <f t="shared" si="0"/>
        <v>700</v>
      </c>
      <c r="U4" s="89">
        <f t="shared" si="0"/>
        <v>800</v>
      </c>
      <c r="V4" s="89">
        <f t="shared" si="0"/>
        <v>900</v>
      </c>
      <c r="W4" s="89">
        <f t="shared" si="0"/>
        <v>1000</v>
      </c>
      <c r="X4" s="89">
        <f t="shared" si="0"/>
        <v>1100</v>
      </c>
      <c r="Y4" s="89">
        <f t="shared" si="0"/>
        <v>1200</v>
      </c>
      <c r="Z4" s="89">
        <f t="shared" si="0"/>
        <v>1300</v>
      </c>
      <c r="AA4" s="89">
        <f t="shared" si="0"/>
        <v>1400</v>
      </c>
      <c r="AB4" s="89">
        <f t="shared" si="0"/>
        <v>1500</v>
      </c>
      <c r="AC4" s="89">
        <f t="shared" si="0"/>
        <v>1600</v>
      </c>
      <c r="AD4" s="89">
        <f t="shared" si="0"/>
        <v>1700</v>
      </c>
      <c r="AE4" s="89">
        <f>AD4+100</f>
        <v>1800</v>
      </c>
      <c r="AF4" s="89">
        <f t="shared" si="0"/>
        <v>1900</v>
      </c>
      <c r="AG4" s="89">
        <f t="shared" si="0"/>
        <v>2000</v>
      </c>
      <c r="AH4" s="89">
        <f t="shared" si="0"/>
        <v>2100</v>
      </c>
      <c r="AI4" s="89">
        <f t="shared" si="0"/>
        <v>2200</v>
      </c>
      <c r="AJ4" s="89">
        <f t="shared" si="0"/>
        <v>2300</v>
      </c>
      <c r="AK4" s="89">
        <f t="shared" si="0"/>
        <v>2400</v>
      </c>
      <c r="AL4" s="89">
        <f t="shared" si="0"/>
        <v>2500</v>
      </c>
      <c r="AM4" s="89">
        <f t="shared" si="0"/>
        <v>2600</v>
      </c>
      <c r="AN4" s="89">
        <f t="shared" si="0"/>
        <v>2700</v>
      </c>
      <c r="AO4" s="89">
        <f t="shared" si="0"/>
        <v>2800</v>
      </c>
      <c r="AP4" s="89">
        <f t="shared" si="0"/>
        <v>2900</v>
      </c>
      <c r="AQ4" s="89">
        <f t="shared" si="0"/>
        <v>3000</v>
      </c>
      <c r="AR4" s="89">
        <f t="shared" si="0"/>
        <v>3100</v>
      </c>
      <c r="AS4" s="89">
        <f t="shared" si="0"/>
        <v>3200</v>
      </c>
      <c r="AT4" s="89">
        <f t="shared" si="0"/>
        <v>3300</v>
      </c>
      <c r="AU4" s="89">
        <f t="shared" si="0"/>
        <v>3400</v>
      </c>
      <c r="AV4" s="89">
        <f t="shared" si="0"/>
        <v>3500</v>
      </c>
      <c r="AW4" s="89">
        <f t="shared" si="0"/>
        <v>3600</v>
      </c>
      <c r="AX4" s="89">
        <f t="shared" si="0"/>
        <v>3700</v>
      </c>
      <c r="AY4" s="89">
        <f t="shared" si="0"/>
        <v>3800</v>
      </c>
      <c r="AZ4" s="89">
        <f t="shared" si="0"/>
        <v>3900</v>
      </c>
      <c r="BA4" s="89">
        <f t="shared" si="0"/>
        <v>4000</v>
      </c>
    </row>
    <row r="5" spans="1:53" x14ac:dyDescent="0.25">
      <c r="A5" s="142" t="s">
        <v>7</v>
      </c>
      <c r="B5" s="144">
        <v>0.26500000000000001</v>
      </c>
      <c r="C5" s="144">
        <v>636.60400000000004</v>
      </c>
      <c r="D5" s="160">
        <v>0.23400000000000001</v>
      </c>
      <c r="E5" s="160">
        <v>636.60400000000004</v>
      </c>
      <c r="F5" s="143">
        <v>3000</v>
      </c>
      <c r="G5" s="144">
        <f>(B5*F5)/(C5+F5)</f>
        <v>0.21861054984265538</v>
      </c>
      <c r="H5" s="144">
        <f>(D5*F5)/(E5+F5)</f>
        <v>0.19303724023842023</v>
      </c>
      <c r="I5" t="s">
        <v>194</v>
      </c>
      <c r="M5" s="88">
        <f>MAX(O5:AQ5)</f>
        <v>0.19303724023842023</v>
      </c>
      <c r="O5">
        <f>($D$5*O4)/($E$5+O4)</f>
        <v>5.5940444941692848E-2</v>
      </c>
      <c r="P5">
        <f t="shared" ref="P5:AQ5" si="1">($D$5*P4)/($E$5+P4)</f>
        <v>7.495163377478635E-2</v>
      </c>
      <c r="Q5">
        <f t="shared" si="1"/>
        <v>9.0294847405566647E-2</v>
      </c>
      <c r="R5">
        <f t="shared" si="1"/>
        <v>0.10293822650632937</v>
      </c>
      <c r="S5">
        <f t="shared" si="1"/>
        <v>0.11353675064935906</v>
      </c>
      <c r="T5">
        <f t="shared" si="1"/>
        <v>0.12254938635527053</v>
      </c>
      <c r="U5">
        <f t="shared" si="1"/>
        <v>0.13030730806819416</v>
      </c>
      <c r="V5">
        <f t="shared" si="1"/>
        <v>0.13705548078750285</v>
      </c>
      <c r="W5">
        <f t="shared" si="1"/>
        <v>0.14297899797385316</v>
      </c>
      <c r="X5">
        <f t="shared" si="1"/>
        <v>0.14822031965836774</v>
      </c>
      <c r="Y5">
        <f t="shared" si="1"/>
        <v>0.15289087903543713</v>
      </c>
      <c r="Z5">
        <f t="shared" si="1"/>
        <v>0.15707909309285742</v>
      </c>
      <c r="AA5">
        <f t="shared" si="1"/>
        <v>0.16085601324557941</v>
      </c>
      <c r="AB5">
        <f t="shared" si="1"/>
        <v>0.16427938916149176</v>
      </c>
      <c r="AC5">
        <f t="shared" si="1"/>
        <v>0.16739664240965321</v>
      </c>
      <c r="AD5">
        <f t="shared" si="1"/>
        <v>0.17024707652644605</v>
      </c>
      <c r="AE5">
        <f t="shared" si="1"/>
        <v>0.1728635428653979</v>
      </c>
      <c r="AF5">
        <f t="shared" si="1"/>
        <v>0.17527371241234344</v>
      </c>
      <c r="AG5">
        <f t="shared" si="1"/>
        <v>0.17750105817938527</v>
      </c>
      <c r="AH5">
        <f t="shared" si="1"/>
        <v>0.17956562220913219</v>
      </c>
      <c r="AI5">
        <f t="shared" si="1"/>
        <v>0.181484620341789</v>
      </c>
      <c r="AJ5">
        <f t="shared" si="1"/>
        <v>0.18327292341766202</v>
      </c>
      <c r="AK5">
        <f t="shared" si="1"/>
        <v>0.18494344339927102</v>
      </c>
      <c r="AL5">
        <f t="shared" si="1"/>
        <v>0.18650744563228255</v>
      </c>
      <c r="AM5">
        <f t="shared" si="1"/>
        <v>0.187974803219671</v>
      </c>
      <c r="AN5">
        <f t="shared" si="1"/>
        <v>0.18935420565341288</v>
      </c>
      <c r="AO5">
        <f t="shared" si="1"/>
        <v>0.19065333102097304</v>
      </c>
      <c r="AP5">
        <f t="shared" si="1"/>
        <v>0.19187898899622349</v>
      </c>
      <c r="AQ5">
        <f t="shared" si="1"/>
        <v>0.19303724023842023</v>
      </c>
    </row>
    <row r="6" spans="1:53" x14ac:dyDescent="0.25">
      <c r="A6" s="102" t="s">
        <v>8</v>
      </c>
      <c r="B6" s="104">
        <v>0.33500000000000002</v>
      </c>
      <c r="C6" s="104">
        <v>491.452</v>
      </c>
      <c r="D6" s="161">
        <v>0.29499999999999998</v>
      </c>
      <c r="E6" s="161">
        <v>491.452</v>
      </c>
      <c r="F6" s="103">
        <v>2000</v>
      </c>
      <c r="G6" s="104">
        <f t="shared" ref="G6" si="2">(B6*F6)/(C6+F6)</f>
        <v>0.26891948951856182</v>
      </c>
      <c r="H6" s="104">
        <f>(D6*F6)/(E6+F6)</f>
        <v>0.23680969972530072</v>
      </c>
      <c r="M6" s="88">
        <f>MAX(O6:BA6)</f>
        <v>0.23680969972530072</v>
      </c>
      <c r="O6">
        <f>($D$6*O4)/($E$6+O4)</f>
        <v>8.5327687243655387E-2</v>
      </c>
      <c r="P6">
        <f t="shared" ref="P6:AG6" si="3">($D$6*P4)/($E$6+P4)</f>
        <v>0.11181979450427822</v>
      </c>
      <c r="Q6">
        <f t="shared" si="3"/>
        <v>0.13236831596092666</v>
      </c>
      <c r="R6">
        <f t="shared" si="3"/>
        <v>0.14877170049583843</v>
      </c>
      <c r="S6">
        <f t="shared" si="3"/>
        <v>0.16216929374814468</v>
      </c>
      <c r="T6">
        <f t="shared" si="3"/>
        <v>0.17331793475523982</v>
      </c>
      <c r="U6">
        <f t="shared" si="3"/>
        <v>0.18274004763630394</v>
      </c>
      <c r="V6">
        <f t="shared" si="3"/>
        <v>0.19080787551421105</v>
      </c>
      <c r="W6">
        <f t="shared" si="3"/>
        <v>0.19779382775979382</v>
      </c>
      <c r="X6">
        <f t="shared" si="3"/>
        <v>0.20390184561017236</v>
      </c>
      <c r="Y6">
        <f t="shared" si="3"/>
        <v>0.20928764162388291</v>
      </c>
      <c r="Z6">
        <f t="shared" si="3"/>
        <v>0.21407216045978347</v>
      </c>
      <c r="AA6">
        <f t="shared" si="3"/>
        <v>0.21835076967324574</v>
      </c>
      <c r="AB6">
        <f t="shared" si="3"/>
        <v>0.22219968143846802</v>
      </c>
      <c r="AC6">
        <f t="shared" si="3"/>
        <v>0.22568053199404048</v>
      </c>
      <c r="AD6">
        <f t="shared" si="3"/>
        <v>0.22884370727718423</v>
      </c>
      <c r="AE6">
        <f t="shared" si="3"/>
        <v>0.23173079776491062</v>
      </c>
      <c r="AF6">
        <f t="shared" si="3"/>
        <v>0.23437643741124636</v>
      </c>
      <c r="AG6">
        <f t="shared" si="3"/>
        <v>0.23680969972530072</v>
      </c>
    </row>
    <row r="7" spans="1:53" x14ac:dyDescent="0.25">
      <c r="A7" s="102" t="s">
        <v>9</v>
      </c>
      <c r="B7" s="104">
        <v>0.27100000000000002</v>
      </c>
      <c r="C7" s="104">
        <v>1471.086</v>
      </c>
      <c r="D7" s="161">
        <v>0.23799999999999999</v>
      </c>
      <c r="E7" s="161">
        <v>1471.086</v>
      </c>
      <c r="F7" s="103">
        <v>4000</v>
      </c>
      <c r="G7" s="104">
        <f t="shared" ref="G7:G11" si="4">(B7*F7)/(C7+F7)</f>
        <v>0.19813250970648238</v>
      </c>
      <c r="H7" s="104">
        <f t="shared" ref="H7:H15" si="5">(D7*F7)/(E7+F7)</f>
        <v>0.17400567273115428</v>
      </c>
      <c r="M7" s="88">
        <f t="shared" ref="M7:M12" si="6">MAX(O7:BA7)</f>
        <v>0.17400567273115428</v>
      </c>
      <c r="O7">
        <f>($D$7*O4)/($E$7+O4)</f>
        <v>2.8484470577815859E-2</v>
      </c>
      <c r="P7">
        <f t="shared" ref="P7:BA7" si="7">($D$7*P4)/($E$7+P4)</f>
        <v>4.0314247868257096E-2</v>
      </c>
      <c r="Q7">
        <f t="shared" si="7"/>
        <v>5.0879542682698703E-2</v>
      </c>
      <c r="R7">
        <f t="shared" si="7"/>
        <v>6.0372809709977139E-2</v>
      </c>
      <c r="S7">
        <f t="shared" si="7"/>
        <v>6.8949333827759918E-2</v>
      </c>
      <c r="T7">
        <f t="shared" si="7"/>
        <v>7.6735790291126177E-2</v>
      </c>
      <c r="U7">
        <f t="shared" si="7"/>
        <v>8.3836543398180405E-2</v>
      </c>
      <c r="V7">
        <f t="shared" si="7"/>
        <v>9.0338351287131705E-2</v>
      </c>
      <c r="W7">
        <f t="shared" si="7"/>
        <v>9.6313928369955545E-2</v>
      </c>
      <c r="X7">
        <f t="shared" si="7"/>
        <v>0.10182467642078094</v>
      </c>
      <c r="Y7">
        <f t="shared" si="7"/>
        <v>0.1069228021860771</v>
      </c>
      <c r="Z7">
        <f t="shared" si="7"/>
        <v>0.11165297648647496</v>
      </c>
      <c r="AA7">
        <f t="shared" si="7"/>
        <v>0.11605364659923108</v>
      </c>
      <c r="AB7">
        <f t="shared" si="7"/>
        <v>0.12015808360983155</v>
      </c>
      <c r="AC7">
        <f t="shared" si="7"/>
        <v>0.12399522514185533</v>
      </c>
      <c r="AD7">
        <f t="shared" si="7"/>
        <v>0.12759035863423443</v>
      </c>
      <c r="AE7">
        <f t="shared" si="7"/>
        <v>0.13096567928816299</v>
      </c>
      <c r="AF7">
        <f t="shared" si="7"/>
        <v>0.13414074870827974</v>
      </c>
      <c r="AG7">
        <f t="shared" si="7"/>
        <v>0.13713287426471138</v>
      </c>
      <c r="AH7">
        <f t="shared" si="7"/>
        <v>0.13995742471617875</v>
      </c>
      <c r="AI7">
        <f t="shared" si="7"/>
        <v>0.14262809424786016</v>
      </c>
      <c r="AJ7">
        <f t="shared" si="7"/>
        <v>0.14515712449941473</v>
      </c>
      <c r="AK7">
        <f t="shared" si="7"/>
        <v>0.14755549217971389</v>
      </c>
      <c r="AL7">
        <f t="shared" si="7"/>
        <v>0.14983306833445562</v>
      </c>
      <c r="AM7">
        <f t="shared" si="7"/>
        <v>0.15199875414078698</v>
      </c>
      <c r="AN7">
        <f t="shared" si="7"/>
        <v>0.15406059716821949</v>
      </c>
      <c r="AO7">
        <f t="shared" si="7"/>
        <v>0.15602589130726938</v>
      </c>
      <c r="AP7">
        <f t="shared" si="7"/>
        <v>0.15790126298132773</v>
      </c>
      <c r="AQ7">
        <f t="shared" si="7"/>
        <v>0.15969274578927803</v>
      </c>
      <c r="AR7">
        <f t="shared" si="7"/>
        <v>0.16140584535053593</v>
      </c>
      <c r="AS7">
        <f t="shared" si="7"/>
        <v>0.16304559582075773</v>
      </c>
      <c r="AT7">
        <f t="shared" si="7"/>
        <v>0.1646166093002725</v>
      </c>
      <c r="AU7">
        <f t="shared" si="7"/>
        <v>0.16612311915659053</v>
      </c>
      <c r="AV7">
        <f t="shared" si="7"/>
        <v>0.16756901811797259</v>
      </c>
      <c r="AW7">
        <f t="shared" si="7"/>
        <v>0.16895789185985013</v>
      </c>
      <c r="AX7">
        <f t="shared" si="7"/>
        <v>0.1702930486942201</v>
      </c>
      <c r="AY7">
        <f t="shared" si="7"/>
        <v>0.1715775458795398</v>
      </c>
      <c r="AZ7">
        <f t="shared" si="7"/>
        <v>0.17281421299156258</v>
      </c>
      <c r="BA7">
        <f t="shared" si="7"/>
        <v>0.17400567273115428</v>
      </c>
    </row>
    <row r="8" spans="1:53" x14ac:dyDescent="0.25">
      <c r="A8" s="102" t="s">
        <v>10</v>
      </c>
      <c r="B8" s="104">
        <v>0.23200000000000001</v>
      </c>
      <c r="C8" s="104">
        <v>285.23</v>
      </c>
      <c r="D8" s="161">
        <v>0.20699999999999999</v>
      </c>
      <c r="E8" s="161">
        <v>314.82900000000001</v>
      </c>
      <c r="F8" s="103">
        <v>3000</v>
      </c>
      <c r="G8" s="104">
        <f>(B8*F8)/(C8+F8)</f>
        <v>0.21185731288220308</v>
      </c>
      <c r="H8" s="104">
        <f>(D8*F8)/(E8+F8)</f>
        <v>0.18733998043337982</v>
      </c>
      <c r="I8" t="s">
        <v>195</v>
      </c>
      <c r="M8" s="88">
        <f>MAX(O8:BA8)</f>
        <v>0.18733998043337982</v>
      </c>
      <c r="O8">
        <f t="shared" ref="O8:AQ8" si="8">($D$8*O4)/($E$8+O4)</f>
        <v>8.0415050434221855E-2</v>
      </c>
      <c r="P8">
        <f t="shared" si="8"/>
        <v>0.10100369370995838</v>
      </c>
      <c r="Q8">
        <f t="shared" si="8"/>
        <v>0.11583189825818482</v>
      </c>
      <c r="R8">
        <f t="shared" si="8"/>
        <v>0.1270205159610176</v>
      </c>
      <c r="S8">
        <f t="shared" si="8"/>
        <v>0.13576307703406865</v>
      </c>
      <c r="T8">
        <f t="shared" si="8"/>
        <v>0.14278267570201483</v>
      </c>
      <c r="U8">
        <f t="shared" si="8"/>
        <v>0.14854296040020487</v>
      </c>
      <c r="V8">
        <f t="shared" si="8"/>
        <v>0.15335491661789435</v>
      </c>
      <c r="W8">
        <f t="shared" si="8"/>
        <v>0.15743492119507557</v>
      </c>
      <c r="X8">
        <f t="shared" si="8"/>
        <v>0.16093817698110513</v>
      </c>
      <c r="Y8">
        <f t="shared" si="8"/>
        <v>0.16397890454962241</v>
      </c>
      <c r="Z8">
        <f t="shared" si="8"/>
        <v>0.16664303155318611</v>
      </c>
      <c r="AA8">
        <f t="shared" si="8"/>
        <v>0.16899644221085602</v>
      </c>
      <c r="AB8">
        <f t="shared" si="8"/>
        <v>0.17109049943548402</v>
      </c>
      <c r="AC8">
        <f t="shared" si="8"/>
        <v>0.17296583663606516</v>
      </c>
      <c r="AD8">
        <f t="shared" si="8"/>
        <v>0.17465502035160302</v>
      </c>
      <c r="AE8">
        <f t="shared" si="8"/>
        <v>0.17618445746677389</v>
      </c>
      <c r="AF8">
        <f t="shared" si="8"/>
        <v>0.17757578576043564</v>
      </c>
      <c r="AG8">
        <f t="shared" si="8"/>
        <v>0.17884690402617212</v>
      </c>
      <c r="AH8">
        <f t="shared" si="8"/>
        <v>0.18001274624414398</v>
      </c>
      <c r="AI8">
        <f t="shared" si="8"/>
        <v>0.18108587104729584</v>
      </c>
      <c r="AJ8">
        <f t="shared" si="8"/>
        <v>0.18207691592834557</v>
      </c>
      <c r="AK8">
        <f t="shared" si="8"/>
        <v>0.18299495106321612</v>
      </c>
      <c r="AL8">
        <f t="shared" si="8"/>
        <v>0.18384775771458939</v>
      </c>
      <c r="AM8">
        <f t="shared" si="8"/>
        <v>0.18464204932776498</v>
      </c>
      <c r="AN8">
        <f t="shared" si="8"/>
        <v>0.18538364862484735</v>
      </c>
      <c r="AO8">
        <f t="shared" si="8"/>
        <v>0.18607763058582028</v>
      </c>
      <c r="AP8">
        <f t="shared" si="8"/>
        <v>0.18672843874433132</v>
      </c>
      <c r="AQ8">
        <f t="shared" si="8"/>
        <v>0.18733998043337982</v>
      </c>
    </row>
    <row r="9" spans="1:53" x14ac:dyDescent="0.25">
      <c r="A9" s="102" t="s">
        <v>11</v>
      </c>
      <c r="B9" s="104">
        <v>0.86799999999999999</v>
      </c>
      <c r="C9" s="104">
        <v>9599.51</v>
      </c>
      <c r="D9" s="161">
        <v>0.76600000000000001</v>
      </c>
      <c r="E9" s="161">
        <v>9599.5110000000004</v>
      </c>
      <c r="F9" s="103">
        <v>2000</v>
      </c>
      <c r="G9" s="104">
        <f>(B9*F9)/(C9+F9)</f>
        <v>0.14966149432174289</v>
      </c>
      <c r="H9" s="104">
        <f>(D9*F9)/(E9+F9)</f>
        <v>0.13207453314195744</v>
      </c>
      <c r="I9" t="s">
        <v>196</v>
      </c>
      <c r="M9" s="88">
        <f>MAX(O9:BA9)</f>
        <v>0.13207453314195744</v>
      </c>
      <c r="O9">
        <f t="shared" ref="O9:AG9" si="9">($D$9*O4)/($E$9+O4)</f>
        <v>1.5633433137633091E-2</v>
      </c>
      <c r="P9">
        <f t="shared" si="9"/>
        <v>2.3213267806864401E-2</v>
      </c>
      <c r="Q9">
        <f t="shared" si="9"/>
        <v>3.0641498369270253E-2</v>
      </c>
      <c r="R9">
        <f t="shared" si="9"/>
        <v>3.7922628135164164E-2</v>
      </c>
      <c r="S9">
        <f t="shared" si="9"/>
        <v>4.5060983805988344E-2</v>
      </c>
      <c r="T9">
        <f t="shared" si="9"/>
        <v>5.2060724047966939E-2</v>
      </c>
      <c r="U9">
        <f t="shared" si="9"/>
        <v>5.8925847571102134E-2</v>
      </c>
      <c r="V9">
        <f t="shared" si="9"/>
        <v>6.5660200746491898E-2</v>
      </c>
      <c r="W9">
        <f t="shared" si="9"/>
        <v>7.2267484792458814E-2</v>
      </c>
      <c r="X9">
        <f t="shared" si="9"/>
        <v>7.8751262557700069E-2</v>
      </c>
      <c r="Y9">
        <f t="shared" si="9"/>
        <v>8.5114964927578668E-2</v>
      </c>
      <c r="Z9">
        <f t="shared" si="9"/>
        <v>9.1361896877759016E-2</v>
      </c>
      <c r="AA9">
        <f t="shared" si="9"/>
        <v>9.7495243197629422E-2</v>
      </c>
      <c r="AB9">
        <f t="shared" si="9"/>
        <v>0.10351807390433686</v>
      </c>
      <c r="AC9">
        <f t="shared" si="9"/>
        <v>0.10943334936677145</v>
      </c>
      <c r="AD9">
        <f t="shared" si="9"/>
        <v>0.1152439251574692</v>
      </c>
      <c r="AE9">
        <f t="shared" si="9"/>
        <v>0.12095255664914047</v>
      </c>
      <c r="AF9">
        <f t="shared" si="9"/>
        <v>0.12656190337136944</v>
      </c>
      <c r="AG9">
        <f t="shared" si="9"/>
        <v>0.13207453314195744</v>
      </c>
    </row>
    <row r="10" spans="1:53" x14ac:dyDescent="0.25">
      <c r="A10" s="102" t="s">
        <v>12</v>
      </c>
      <c r="B10" s="104">
        <v>0.20499999999999999</v>
      </c>
      <c r="C10" s="104">
        <v>224.05199999999999</v>
      </c>
      <c r="D10" s="161">
        <v>0.18099999999999999</v>
      </c>
      <c r="E10" s="161">
        <v>224.05099999999999</v>
      </c>
      <c r="F10" s="103">
        <v>2000</v>
      </c>
      <c r="G10" s="104">
        <f t="shared" si="4"/>
        <v>0.18434820768579152</v>
      </c>
      <c r="H10" s="104">
        <f t="shared" si="5"/>
        <v>0.16276605167777178</v>
      </c>
      <c r="I10" t="s">
        <v>197</v>
      </c>
      <c r="M10" s="88">
        <f t="shared" si="6"/>
        <v>0.14786965575780747</v>
      </c>
      <c r="O10">
        <f>($D$10*O4)/($E$10+O4)</f>
        <v>8.5367090279235266E-2</v>
      </c>
      <c r="P10">
        <f t="shared" ref="P10:W10" si="10">($D$10*P4)/($E$10+P4)</f>
        <v>0.10361586944782093</v>
      </c>
      <c r="Q10">
        <f t="shared" si="10"/>
        <v>0.116016158935728</v>
      </c>
      <c r="R10">
        <f t="shared" si="10"/>
        <v>0.12499119537159677</v>
      </c>
      <c r="S10">
        <f t="shared" si="10"/>
        <v>0.13178795972579369</v>
      </c>
      <c r="T10">
        <f t="shared" si="10"/>
        <v>0.13711364416033314</v>
      </c>
      <c r="U10">
        <f t="shared" si="10"/>
        <v>0.1413992076566499</v>
      </c>
      <c r="V10">
        <f t="shared" si="10"/>
        <v>0.14492224996908504</v>
      </c>
      <c r="W10">
        <f t="shared" si="10"/>
        <v>0.14786965575780747</v>
      </c>
    </row>
    <row r="11" spans="1:53" x14ac:dyDescent="0.25">
      <c r="A11" s="102" t="s">
        <v>13</v>
      </c>
      <c r="B11" s="104">
        <v>0.23499999999999999</v>
      </c>
      <c r="C11" s="104">
        <v>291.78100000000001</v>
      </c>
      <c r="D11" s="161">
        <v>0.20799999999999999</v>
      </c>
      <c r="E11" s="161">
        <v>291.78100000000001</v>
      </c>
      <c r="F11" s="103">
        <v>2000</v>
      </c>
      <c r="G11" s="104">
        <f t="shared" si="4"/>
        <v>0.20508067742947517</v>
      </c>
      <c r="H11" s="104">
        <f t="shared" si="5"/>
        <v>0.18151821661842907</v>
      </c>
      <c r="I11" t="s">
        <v>250</v>
      </c>
      <c r="M11" s="88">
        <f t="shared" si="6"/>
        <v>0.18151821661842907</v>
      </c>
      <c r="O11">
        <f>($D$11*O4)/($E$11+O4)</f>
        <v>8.4590498616253978E-2</v>
      </c>
      <c r="P11">
        <f t="shared" ref="P11:AG11" si="11">($D$11*P4)/($E$11+P4)</f>
        <v>0.10544441271348692</v>
      </c>
      <c r="Q11">
        <f t="shared" si="11"/>
        <v>0.1202692759702854</v>
      </c>
      <c r="R11">
        <f t="shared" si="11"/>
        <v>0.13134945142659399</v>
      </c>
      <c r="S11">
        <f t="shared" si="11"/>
        <v>0.13994467251488876</v>
      </c>
      <c r="T11">
        <f t="shared" si="11"/>
        <v>0.14680660347395241</v>
      </c>
      <c r="U11">
        <f t="shared" si="11"/>
        <v>0.15241151842723039</v>
      </c>
      <c r="V11">
        <f t="shared" si="11"/>
        <v>0.1570758385978632</v>
      </c>
      <c r="W11">
        <f t="shared" si="11"/>
        <v>0.16101800537397593</v>
      </c>
      <c r="X11">
        <f t="shared" si="11"/>
        <v>0.16439367975277719</v>
      </c>
      <c r="Y11">
        <f t="shared" si="11"/>
        <v>0.16731678443417633</v>
      </c>
      <c r="Z11">
        <f t="shared" si="11"/>
        <v>0.16987261438602419</v>
      </c>
      <c r="AA11">
        <f t="shared" si="11"/>
        <v>0.17212629767091603</v>
      </c>
      <c r="AB11">
        <f t="shared" si="11"/>
        <v>0.17412842306063073</v>
      </c>
      <c r="AC11">
        <f t="shared" si="11"/>
        <v>0.17591888278822973</v>
      </c>
      <c r="AD11">
        <f t="shared" si="11"/>
        <v>0.17752955771743981</v>
      </c>
      <c r="AE11">
        <f t="shared" si="11"/>
        <v>0.17898623230634564</v>
      </c>
      <c r="AF11">
        <f t="shared" si="11"/>
        <v>0.18030998534981368</v>
      </c>
      <c r="AG11">
        <f t="shared" si="11"/>
        <v>0.18151821661842907</v>
      </c>
    </row>
    <row r="12" spans="1:53" x14ac:dyDescent="0.25">
      <c r="A12" s="102" t="s">
        <v>14</v>
      </c>
      <c r="B12" s="104">
        <v>0.26800000000000002</v>
      </c>
      <c r="C12" s="104">
        <v>390.245</v>
      </c>
      <c r="D12" s="161">
        <v>0.23599999999999999</v>
      </c>
      <c r="E12" s="161">
        <v>390.245</v>
      </c>
      <c r="F12" s="103">
        <v>2000</v>
      </c>
      <c r="G12" s="104">
        <f>(B12*F12)/(C12+F12)</f>
        <v>0.22424479498963495</v>
      </c>
      <c r="H12" s="104">
        <f t="shared" si="5"/>
        <v>0.19746929708042482</v>
      </c>
      <c r="M12" s="88">
        <f t="shared" si="6"/>
        <v>0.19746929708042482</v>
      </c>
      <c r="O12" s="156">
        <f>($D$12*O4)/($E$12+O4)</f>
        <v>7.9966793450177459E-2</v>
      </c>
      <c r="P12" s="156">
        <f t="shared" ref="P12:AG12" si="12">($D$12*P4)/($E$12+P4)</f>
        <v>0.10257227506175343</v>
      </c>
      <c r="Q12" s="156">
        <f t="shared" si="12"/>
        <v>0.11945662421147871</v>
      </c>
      <c r="R12" s="156">
        <f t="shared" si="12"/>
        <v>0.13254778179040602</v>
      </c>
      <c r="S12" s="156">
        <f t="shared" si="12"/>
        <v>0.14299491539972431</v>
      </c>
      <c r="T12" s="156">
        <f t="shared" si="12"/>
        <v>0.15152557452682655</v>
      </c>
      <c r="U12" s="156">
        <f t="shared" si="12"/>
        <v>0.15862280454864336</v>
      </c>
      <c r="V12" s="156">
        <f t="shared" si="12"/>
        <v>0.1646198977713535</v>
      </c>
      <c r="W12" s="156">
        <f t="shared" si="12"/>
        <v>0.16975425194839761</v>
      </c>
      <c r="X12" s="156">
        <f t="shared" si="12"/>
        <v>0.174199544370221</v>
      </c>
      <c r="Y12" s="156">
        <f t="shared" si="12"/>
        <v>0.17808576665859663</v>
      </c>
      <c r="Z12" s="156">
        <f t="shared" si="12"/>
        <v>0.18151214764723458</v>
      </c>
      <c r="AA12" s="156">
        <f t="shared" si="12"/>
        <v>0.1845557451633715</v>
      </c>
      <c r="AB12" s="156">
        <f t="shared" si="12"/>
        <v>0.18727731061317449</v>
      </c>
      <c r="AC12" s="156">
        <f t="shared" si="12"/>
        <v>0.18972538556810845</v>
      </c>
      <c r="AD12" s="156">
        <f t="shared" si="12"/>
        <v>0.19193922243564751</v>
      </c>
      <c r="AE12" s="156">
        <f t="shared" si="12"/>
        <v>0.193950905035738</v>
      </c>
      <c r="AF12" s="156">
        <f t="shared" si="12"/>
        <v>0.1957869136271447</v>
      </c>
      <c r="AG12" s="156">
        <f t="shared" si="12"/>
        <v>0.19746929708042482</v>
      </c>
    </row>
    <row r="13" spans="1:53" x14ac:dyDescent="0.25">
      <c r="A13" s="102" t="s">
        <v>15</v>
      </c>
      <c r="B13" s="104">
        <v>0.17799999999999999</v>
      </c>
      <c r="C13" s="104">
        <v>345.63900000000001</v>
      </c>
      <c r="D13" s="161">
        <v>0.157</v>
      </c>
      <c r="E13" s="161">
        <v>345.63900000000001</v>
      </c>
      <c r="F13" s="103">
        <v>2500</v>
      </c>
      <c r="G13" s="104">
        <f>(B13*F13)/(C13+F13)</f>
        <v>0.15637963916013239</v>
      </c>
      <c r="H13" s="104">
        <f t="shared" si="5"/>
        <v>0.13793035588843139</v>
      </c>
      <c r="I13" t="s">
        <v>257</v>
      </c>
      <c r="M13" s="88">
        <f>MAX(O13:BA13)</f>
        <v>0.13793035588843139</v>
      </c>
      <c r="O13">
        <f>($D$13*O4)/($E$13+O4)</f>
        <v>5.7547206119797155E-2</v>
      </c>
      <c r="P13">
        <f t="shared" ref="P13:AL13" si="13">($D$13*P4)/($E$13+P4)</f>
        <v>7.2950983444308656E-2</v>
      </c>
      <c r="Q13">
        <f t="shared" si="13"/>
        <v>8.4223062366641219E-2</v>
      </c>
      <c r="R13">
        <f t="shared" si="13"/>
        <v>9.2829209627275935E-2</v>
      </c>
      <c r="S13">
        <f t="shared" si="13"/>
        <v>9.9615180845967655E-2</v>
      </c>
      <c r="T13">
        <f t="shared" si="13"/>
        <v>0.10510319527102566</v>
      </c>
      <c r="U13">
        <f t="shared" si="13"/>
        <v>0.10963313923495968</v>
      </c>
      <c r="V13">
        <f t="shared" si="13"/>
        <v>0.11343575466086081</v>
      </c>
      <c r="W13">
        <f t="shared" si="13"/>
        <v>0.11667319392496797</v>
      </c>
      <c r="X13">
        <f t="shared" si="13"/>
        <v>0.11946274277326495</v>
      </c>
      <c r="Y13">
        <f t="shared" si="13"/>
        <v>0.12189133426369288</v>
      </c>
      <c r="Z13">
        <f t="shared" si="13"/>
        <v>0.12402477092485045</v>
      </c>
      <c r="AA13">
        <f t="shared" si="13"/>
        <v>0.12591377713261448</v>
      </c>
      <c r="AB13">
        <f t="shared" si="13"/>
        <v>0.12759808391565197</v>
      </c>
      <c r="AC13">
        <f t="shared" si="13"/>
        <v>0.129109254080536</v>
      </c>
      <c r="AD13">
        <f t="shared" si="13"/>
        <v>0.1304726787082178</v>
      </c>
      <c r="AE13">
        <f t="shared" si="13"/>
        <v>0.1317090153562645</v>
      </c>
      <c r="AF13">
        <f t="shared" si="13"/>
        <v>0.13283524199570812</v>
      </c>
      <c r="AG13">
        <f t="shared" si="13"/>
        <v>0.13386544135734441</v>
      </c>
      <c r="AH13">
        <f t="shared" si="13"/>
        <v>0.13481139285070282</v>
      </c>
      <c r="AI13">
        <f t="shared" si="13"/>
        <v>0.13568302496936918</v>
      </c>
      <c r="AJ13">
        <f t="shared" si="13"/>
        <v>0.13648876509606941</v>
      </c>
      <c r="AK13">
        <f t="shared" si="13"/>
        <v>0.13723581286542039</v>
      </c>
      <c r="AL13">
        <f t="shared" si="13"/>
        <v>0.13793035588843139</v>
      </c>
    </row>
    <row r="14" spans="1:53" x14ac:dyDescent="0.25">
      <c r="A14" s="102" t="s">
        <v>16</v>
      </c>
      <c r="B14" s="104">
        <v>0.36</v>
      </c>
      <c r="C14" s="104">
        <v>2330.25</v>
      </c>
      <c r="D14" s="161">
        <v>0.317</v>
      </c>
      <c r="E14" s="161">
        <v>2330.25</v>
      </c>
      <c r="F14" s="103">
        <v>2000</v>
      </c>
      <c r="G14" s="104">
        <f t="shared" ref="G14:G17" si="14">(B14*F14)/(C14+F14)</f>
        <v>0.16627215518734484</v>
      </c>
      <c r="H14" s="104">
        <f t="shared" si="5"/>
        <v>0.146411869984412</v>
      </c>
      <c r="M14" s="88">
        <f>MAX(O14:BA14)</f>
        <v>0.146411869984412</v>
      </c>
      <c r="O14">
        <f t="shared" ref="O14:AG14" si="15">($D$14*O4)/($E$14+O4)</f>
        <v>2.505681256792807E-2</v>
      </c>
      <c r="P14">
        <f t="shared" si="15"/>
        <v>3.6156258910749924E-2</v>
      </c>
      <c r="Q14">
        <f t="shared" si="15"/>
        <v>4.6442633458474498E-2</v>
      </c>
      <c r="R14">
        <f t="shared" si="15"/>
        <v>5.6002119954067661E-2</v>
      </c>
      <c r="S14">
        <f t="shared" si="15"/>
        <v>6.4909137445610443E-2</v>
      </c>
      <c r="T14">
        <f t="shared" si="15"/>
        <v>7.3228281494926162E-2</v>
      </c>
      <c r="U14">
        <f t="shared" si="15"/>
        <v>8.1015893299257249E-2</v>
      </c>
      <c r="V14">
        <f t="shared" si="15"/>
        <v>8.8321337357789645E-2</v>
      </c>
      <c r="W14">
        <f t="shared" si="15"/>
        <v>9.5188048945274384E-2</v>
      </c>
      <c r="X14">
        <f t="shared" si="15"/>
        <v>0.10165439836746593</v>
      </c>
      <c r="Y14">
        <f t="shared" si="15"/>
        <v>0.10775440832802209</v>
      </c>
      <c r="Z14">
        <f t="shared" si="15"/>
        <v>0.11351835273052821</v>
      </c>
      <c r="AA14">
        <f t="shared" si="15"/>
        <v>0.11897325916493533</v>
      </c>
      <c r="AB14">
        <f t="shared" si="15"/>
        <v>0.12414333268063442</v>
      </c>
      <c r="AC14">
        <f t="shared" si="15"/>
        <v>0.12905031486546656</v>
      </c>
      <c r="AD14">
        <f t="shared" si="15"/>
        <v>0.13371378946715465</v>
      </c>
      <c r="AE14">
        <f t="shared" si="15"/>
        <v>0.13815144361721446</v>
      </c>
      <c r="AF14">
        <f t="shared" si="15"/>
        <v>0.14237929200401866</v>
      </c>
      <c r="AG14">
        <f t="shared" si="15"/>
        <v>0.146411869984412</v>
      </c>
    </row>
    <row r="15" spans="1:53" x14ac:dyDescent="0.25">
      <c r="A15" s="157" t="s">
        <v>251</v>
      </c>
      <c r="B15" s="159">
        <v>0.223</v>
      </c>
      <c r="C15" s="159">
        <v>304.67099999999999</v>
      </c>
      <c r="D15" s="162">
        <v>0.19700000000000001</v>
      </c>
      <c r="E15" s="162">
        <v>304.67099999999999</v>
      </c>
      <c r="F15" s="158">
        <v>1500</v>
      </c>
      <c r="G15" s="159">
        <f>(B15*F15)/(C15+F15)</f>
        <v>0.18535234400065165</v>
      </c>
      <c r="H15" s="159">
        <f t="shared" si="5"/>
        <v>0.16374175680775055</v>
      </c>
      <c r="I15" t="s">
        <v>256</v>
      </c>
      <c r="M15" s="88">
        <f>MAX(O15:BA15)</f>
        <v>0.16374175680775055</v>
      </c>
      <c r="O15">
        <f>($D$15*O4)/($E$15+O4)</f>
        <v>7.8070663858236355E-2</v>
      </c>
      <c r="P15">
        <f t="shared" ref="P15:AB15" si="16">($D$15*P4)/($E$15+P4)</f>
        <v>9.7739101097952433E-2</v>
      </c>
      <c r="Q15">
        <f t="shared" si="16"/>
        <v>0.11182523475494237</v>
      </c>
      <c r="R15">
        <f t="shared" si="16"/>
        <v>0.1224102769951943</v>
      </c>
      <c r="S15">
        <f t="shared" si="16"/>
        <v>0.13065523267574622</v>
      </c>
      <c r="T15">
        <f t="shared" si="16"/>
        <v>0.13725886384697081</v>
      </c>
      <c r="U15">
        <f t="shared" si="16"/>
        <v>0.14266691168682802</v>
      </c>
      <c r="V15">
        <f t="shared" si="16"/>
        <v>0.14717711308730766</v>
      </c>
      <c r="W15">
        <f t="shared" si="16"/>
        <v>0.15099592157716391</v>
      </c>
      <c r="X15">
        <f t="shared" si="16"/>
        <v>0.15427100011319378</v>
      </c>
      <c r="Y15">
        <f t="shared" si="16"/>
        <v>0.15711075710238318</v>
      </c>
      <c r="Z15">
        <f t="shared" si="16"/>
        <v>0.15959657774085778</v>
      </c>
      <c r="AA15">
        <f t="shared" si="16"/>
        <v>0.16179075023860909</v>
      </c>
      <c r="AB15">
        <f t="shared" si="16"/>
        <v>0.16374175680775055</v>
      </c>
    </row>
    <row r="16" spans="1:53" x14ac:dyDescent="0.25">
      <c r="A16" s="109" t="s">
        <v>198</v>
      </c>
      <c r="B16" s="111">
        <v>0.32700000000000001</v>
      </c>
      <c r="C16" s="111">
        <v>1139.135</v>
      </c>
      <c r="D16" s="111">
        <v>0.28799999999999998</v>
      </c>
      <c r="E16" s="111">
        <v>1139.144</v>
      </c>
      <c r="F16" s="110">
        <v>2000</v>
      </c>
      <c r="G16" s="111">
        <f t="shared" si="14"/>
        <v>0.20833764715439124</v>
      </c>
      <c r="H16" s="111">
        <f t="shared" ref="H16:H17" si="17">(D16*F16)/(E16+F16)</f>
        <v>0.18348951179047535</v>
      </c>
      <c r="I16" t="s">
        <v>199</v>
      </c>
      <c r="M16" s="88">
        <f>MAX(O16:BA16)</f>
        <v>0.18348951179047535</v>
      </c>
      <c r="O16">
        <f t="shared" ref="O16:AG16" si="18">($D$16*O4)/($E$16+O4)</f>
        <v>4.3012551301428371E-2</v>
      </c>
      <c r="P16">
        <f t="shared" si="18"/>
        <v>6.0035687881129333E-2</v>
      </c>
      <c r="Q16">
        <f t="shared" si="18"/>
        <v>7.4846797960424746E-2</v>
      </c>
      <c r="R16">
        <f t="shared" si="18"/>
        <v>8.7850731845402236E-2</v>
      </c>
      <c r="S16">
        <f t="shared" si="18"/>
        <v>9.9359224998045004E-2</v>
      </c>
      <c r="T16">
        <f t="shared" si="18"/>
        <v>0.10961621275984915</v>
      </c>
      <c r="U16">
        <f t="shared" si="18"/>
        <v>0.11881531232337567</v>
      </c>
      <c r="V16">
        <f t="shared" si="18"/>
        <v>0.12711216078903695</v>
      </c>
      <c r="W16">
        <f t="shared" si="18"/>
        <v>0.13463329256936418</v>
      </c>
      <c r="X16">
        <f t="shared" si="18"/>
        <v>0.14148263800809591</v>
      </c>
      <c r="Y16">
        <f t="shared" si="18"/>
        <v>0.1477463550768999</v>
      </c>
      <c r="Z16">
        <f t="shared" si="18"/>
        <v>0.15349647253298696</v>
      </c>
      <c r="AA16">
        <f t="shared" si="18"/>
        <v>0.1587936721981896</v>
      </c>
      <c r="AB16">
        <f t="shared" si="18"/>
        <v>0.16368943869678954</v>
      </c>
      <c r="AC16">
        <f t="shared" si="18"/>
        <v>0.16822773830072457</v>
      </c>
      <c r="AD16">
        <f t="shared" si="18"/>
        <v>0.17244634298225095</v>
      </c>
      <c r="AE16">
        <f t="shared" si="18"/>
        <v>0.17637788417307895</v>
      </c>
      <c r="AF16">
        <f t="shared" si="18"/>
        <v>0.18005069848615265</v>
      </c>
      <c r="AG16">
        <f t="shared" si="18"/>
        <v>0.18348951179047535</v>
      </c>
    </row>
    <row r="17" spans="1:33" x14ac:dyDescent="0.25">
      <c r="A17" s="105" t="s">
        <v>200</v>
      </c>
      <c r="B17" s="107">
        <v>0.20899999999999999</v>
      </c>
      <c r="C17" s="107">
        <v>410.02300000000002</v>
      </c>
      <c r="D17" s="107">
        <v>0.184</v>
      </c>
      <c r="E17" s="107">
        <v>410.02199999999999</v>
      </c>
      <c r="F17" s="106">
        <v>2000</v>
      </c>
      <c r="G17" s="107">
        <f t="shared" si="14"/>
        <v>0.17344232814375629</v>
      </c>
      <c r="H17" s="107">
        <f t="shared" si="17"/>
        <v>0.15269570153301507</v>
      </c>
      <c r="I17" t="s">
        <v>201</v>
      </c>
      <c r="M17" s="88">
        <f>MAX(O17:BA17)</f>
        <v>5.985812025292974E-5</v>
      </c>
      <c r="O17">
        <f t="shared" ref="O17:AG17" si="19">($D$16*O6)/($E$16+O6)</f>
        <v>2.157105099818781E-5</v>
      </c>
      <c r="P17">
        <f t="shared" si="19"/>
        <v>2.8267664081839851E-5</v>
      </c>
      <c r="Q17">
        <f t="shared" si="19"/>
        <v>3.346165694027131E-5</v>
      </c>
      <c r="R17">
        <f t="shared" si="19"/>
        <v>3.7607760539768561E-5</v>
      </c>
      <c r="S17">
        <f t="shared" si="19"/>
        <v>4.0994034666219508E-5</v>
      </c>
      <c r="T17">
        <f t="shared" si="19"/>
        <v>4.3811819958983156E-5</v>
      </c>
      <c r="U17">
        <f t="shared" si="19"/>
        <v>4.6193187493391984E-5</v>
      </c>
      <c r="V17">
        <f t="shared" si="19"/>
        <v>4.823223846777883E-5</v>
      </c>
      <c r="W17">
        <f t="shared" si="19"/>
        <v>4.9997834454436108E-5</v>
      </c>
      <c r="X17">
        <f t="shared" si="19"/>
        <v>5.1541527781465233E-5</v>
      </c>
      <c r="Y17">
        <f t="shared" si="19"/>
        <v>5.2902678599754327E-5</v>
      </c>
      <c r="Z17">
        <f t="shared" si="19"/>
        <v>5.4111858000453831E-5</v>
      </c>
      <c r="AA17">
        <f t="shared" si="19"/>
        <v>5.5193171534423674E-5</v>
      </c>
      <c r="AB17">
        <f t="shared" si="19"/>
        <v>5.6165882639112055E-5</v>
      </c>
      <c r="AC17">
        <f t="shared" si="19"/>
        <v>5.7045570305096896E-5</v>
      </c>
      <c r="AD17">
        <f t="shared" si="19"/>
        <v>5.7844969765455971E-5</v>
      </c>
      <c r="AE17">
        <f t="shared" si="19"/>
        <v>5.8574593044531064E-5</v>
      </c>
      <c r="AF17">
        <f t="shared" si="19"/>
        <v>5.9243193806694904E-5</v>
      </c>
      <c r="AG17">
        <f t="shared" si="19"/>
        <v>5.985812025292974E-5</v>
      </c>
    </row>
    <row r="19" spans="1:33" ht="23.25" x14ac:dyDescent="0.35">
      <c r="A19" s="175"/>
      <c r="B19" s="176"/>
      <c r="C19" s="176"/>
      <c r="D19" s="176"/>
      <c r="E19" s="176"/>
      <c r="F19" s="176"/>
      <c r="G19" s="177"/>
      <c r="H19" s="177"/>
      <c r="I19" s="177"/>
    </row>
    <row r="20" spans="1:33" x14ac:dyDescent="0.25">
      <c r="A20" s="177"/>
      <c r="B20" s="176"/>
      <c r="C20" s="176"/>
      <c r="D20" s="176"/>
      <c r="E20" s="176"/>
      <c r="F20" s="176"/>
      <c r="G20" s="178"/>
      <c r="H20" s="178"/>
      <c r="I20" s="177"/>
    </row>
    <row r="21" spans="1:33" x14ac:dyDescent="0.25">
      <c r="A21" s="177"/>
      <c r="B21" s="176"/>
      <c r="C21" s="176"/>
      <c r="D21" s="176"/>
      <c r="E21" s="176"/>
      <c r="F21" s="177"/>
      <c r="G21" s="177"/>
      <c r="H21" s="177"/>
      <c r="I21" s="177"/>
    </row>
    <row r="22" spans="1:33" x14ac:dyDescent="0.25">
      <c r="A22" s="177"/>
      <c r="B22" s="176"/>
      <c r="C22" s="176"/>
      <c r="D22" s="176"/>
      <c r="E22" s="176"/>
      <c r="F22" s="176"/>
      <c r="G22" s="178"/>
      <c r="H22" s="178"/>
      <c r="I22" s="177"/>
    </row>
    <row r="23" spans="1:33" x14ac:dyDescent="0.25">
      <c r="B23" s="17"/>
      <c r="C23" s="17"/>
      <c r="D23" s="17"/>
      <c r="E23" s="17"/>
      <c r="F23" s="17"/>
      <c r="G23" s="19"/>
      <c r="H23" s="19"/>
    </row>
    <row r="24" spans="1:33" x14ac:dyDescent="0.25">
      <c r="A24" s="18" t="s">
        <v>202</v>
      </c>
      <c r="B24" s="17"/>
      <c r="C24" s="17"/>
      <c r="D24" s="17"/>
      <c r="E24" s="17"/>
      <c r="F24" s="17"/>
      <c r="G24" s="19"/>
      <c r="H24" s="19"/>
    </row>
    <row r="25" spans="1:33" x14ac:dyDescent="0.25">
      <c r="A25" s="18" t="s">
        <v>203</v>
      </c>
      <c r="B25" s="153"/>
      <c r="C25" s="153"/>
      <c r="D25" s="153"/>
      <c r="E25" s="153"/>
      <c r="F25" s="153"/>
    </row>
    <row r="26" spans="1:33" x14ac:dyDescent="0.25">
      <c r="B26" s="153"/>
      <c r="C26" s="153"/>
      <c r="D26" s="153"/>
      <c r="E26" s="153"/>
      <c r="F26" s="153"/>
    </row>
    <row r="27" spans="1:33" x14ac:dyDescent="0.25">
      <c r="B27" s="153"/>
      <c r="C27" s="153"/>
      <c r="D27" s="153"/>
      <c r="E27" s="153"/>
      <c r="F27" s="153"/>
    </row>
    <row r="28" spans="1:33" x14ac:dyDescent="0.25">
      <c r="B28" s="153"/>
      <c r="C28" s="153"/>
      <c r="D28" s="153"/>
      <c r="E28" s="153"/>
      <c r="F28" s="153"/>
    </row>
    <row r="29" spans="1:33" x14ac:dyDescent="0.25">
      <c r="B29" s="153"/>
      <c r="C29" s="153"/>
      <c r="D29" s="153"/>
      <c r="E29" s="153"/>
      <c r="F29" s="153"/>
    </row>
    <row r="30" spans="1:33" x14ac:dyDescent="0.25">
      <c r="B30" s="153"/>
      <c r="C30" s="153"/>
      <c r="D30" s="153"/>
      <c r="E30" s="153"/>
      <c r="F30" s="153"/>
    </row>
    <row r="35" spans="1:2" ht="16.5" thickBot="1" x14ac:dyDescent="0.3">
      <c r="A35" s="91" t="s">
        <v>204</v>
      </c>
    </row>
    <row r="36" spans="1:2" x14ac:dyDescent="0.25">
      <c r="A36" s="90">
        <v>45233</v>
      </c>
      <c r="B36" t="s">
        <v>205</v>
      </c>
    </row>
    <row r="37" spans="1:2" x14ac:dyDescent="0.25">
      <c r="A37" s="90">
        <v>45238</v>
      </c>
      <c r="B37" t="s">
        <v>206</v>
      </c>
    </row>
    <row r="38" spans="1:2" x14ac:dyDescent="0.25">
      <c r="A38" s="90"/>
      <c r="B38" t="s">
        <v>207</v>
      </c>
    </row>
    <row r="39" spans="1:2" x14ac:dyDescent="0.25">
      <c r="A39" s="90">
        <v>45891</v>
      </c>
      <c r="B39" t="s">
        <v>208</v>
      </c>
    </row>
    <row r="40" spans="1:2" x14ac:dyDescent="0.25">
      <c r="B40" t="s">
        <v>209</v>
      </c>
    </row>
    <row r="41" spans="1:2" x14ac:dyDescent="0.25">
      <c r="B41" t="s">
        <v>210</v>
      </c>
    </row>
    <row r="42" spans="1:2" x14ac:dyDescent="0.25">
      <c r="A42" s="90">
        <v>45894</v>
      </c>
      <c r="B42" t="s">
        <v>211</v>
      </c>
    </row>
    <row r="43" spans="1:2" x14ac:dyDescent="0.25">
      <c r="A43" s="90">
        <v>46010</v>
      </c>
      <c r="B43" t="s">
        <v>265</v>
      </c>
    </row>
    <row r="44" spans="1:2" x14ac:dyDescent="0.25">
      <c r="A44" s="90">
        <v>46239</v>
      </c>
      <c r="B44" t="s">
        <v>273</v>
      </c>
    </row>
    <row r="45" spans="1:2" x14ac:dyDescent="0.25">
      <c r="A45" s="90"/>
    </row>
    <row r="46" spans="1:2" x14ac:dyDescent="0.25">
      <c r="A46" s="90"/>
    </row>
    <row r="47" spans="1:2" x14ac:dyDescent="0.25">
      <c r="A47" s="90"/>
    </row>
    <row r="48" spans="1:2" x14ac:dyDescent="0.25">
      <c r="A48" s="90"/>
    </row>
    <row r="49" spans="1:1" x14ac:dyDescent="0.25">
      <c r="A49" s="90"/>
    </row>
    <row r="50" spans="1:1" x14ac:dyDescent="0.25">
      <c r="A50" s="90"/>
    </row>
    <row r="51" spans="1:1" x14ac:dyDescent="0.25">
      <c r="A51" s="90"/>
    </row>
    <row r="52" spans="1:1" x14ac:dyDescent="0.25">
      <c r="A52" s="90"/>
    </row>
  </sheetData>
  <sortState xmlns:xlrd2="http://schemas.microsoft.com/office/spreadsheetml/2017/richdata2" ref="A5:H12">
    <sortCondition ref="A5:A12"/>
  </sortState>
  <mergeCells count="3">
    <mergeCell ref="B3:C3"/>
    <mergeCell ref="D3:E3"/>
    <mergeCell ref="B2:E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AA106"/>
  <sheetViews>
    <sheetView workbookViewId="0">
      <selection activeCell="C8" sqref="C8"/>
    </sheetView>
  </sheetViews>
  <sheetFormatPr defaultColWidth="9" defaultRowHeight="15" x14ac:dyDescent="0.25"/>
  <cols>
    <col min="1" max="1" width="9" style="93"/>
    <col min="2" max="2" width="15.5" style="93" bestFit="1" customWidth="1"/>
    <col min="3" max="3" width="36.75" style="93" customWidth="1"/>
    <col min="4" max="5" width="15.375" style="93" customWidth="1"/>
    <col min="6" max="6" width="14.5" style="93" bestFit="1" customWidth="1"/>
    <col min="7" max="7" width="13.375" style="93" bestFit="1" customWidth="1"/>
    <col min="8" max="8" width="20.125" style="93" bestFit="1" customWidth="1"/>
    <col min="9" max="9" width="16.375" style="93" customWidth="1"/>
    <col min="10" max="10" width="3.25" style="97" customWidth="1"/>
    <col min="11" max="11" width="26" style="93" bestFit="1" customWidth="1"/>
    <col min="12" max="14" width="16.375" style="93" customWidth="1"/>
    <col min="15" max="15" width="26.125" style="93" bestFit="1" customWidth="1"/>
    <col min="16" max="16" width="13.75" style="93" bestFit="1" customWidth="1"/>
    <col min="17" max="23" width="9" style="93"/>
    <col min="24" max="24" width="14" style="93" bestFit="1" customWidth="1"/>
    <col min="25" max="25" width="28.5" style="93" bestFit="1" customWidth="1"/>
    <col min="26" max="16384" width="9" style="93"/>
  </cols>
  <sheetData>
    <row r="1" spans="2:27" ht="27" thickBot="1" x14ac:dyDescent="0.45">
      <c r="C1" s="94" t="s">
        <v>212</v>
      </c>
      <c r="F1" s="208" t="s">
        <v>213</v>
      </c>
      <c r="G1" s="208"/>
      <c r="H1" s="208"/>
      <c r="I1" s="208"/>
      <c r="J1" s="123"/>
      <c r="K1" s="208" t="s">
        <v>214</v>
      </c>
      <c r="L1" s="208"/>
      <c r="M1" s="208"/>
      <c r="N1" s="208"/>
      <c r="X1" s="100"/>
      <c r="Y1" s="100"/>
      <c r="Z1" s="100"/>
      <c r="AA1" s="100"/>
    </row>
    <row r="2" spans="2:27" x14ac:dyDescent="0.25">
      <c r="D2" s="95" t="s">
        <v>215</v>
      </c>
      <c r="E2" s="95"/>
      <c r="F2" s="95" t="s">
        <v>216</v>
      </c>
      <c r="G2" s="95" t="s">
        <v>88</v>
      </c>
      <c r="H2" s="93" t="s">
        <v>217</v>
      </c>
      <c r="I2" s="93" t="s">
        <v>217</v>
      </c>
      <c r="K2" s="95" t="s">
        <v>216</v>
      </c>
      <c r="L2" s="95" t="s">
        <v>88</v>
      </c>
      <c r="M2" s="93" t="s">
        <v>217</v>
      </c>
      <c r="N2" s="93" t="s">
        <v>217</v>
      </c>
      <c r="X2" s="100"/>
      <c r="Y2" s="100"/>
      <c r="Z2" s="100"/>
      <c r="AA2" s="100"/>
    </row>
    <row r="3" spans="2:27" ht="15.75" thickBot="1" x14ac:dyDescent="0.3">
      <c r="B3" s="117" t="s">
        <v>218</v>
      </c>
      <c r="C3" s="117" t="s">
        <v>219</v>
      </c>
      <c r="D3" s="118" t="s">
        <v>220</v>
      </c>
      <c r="E3" s="167" t="s">
        <v>258</v>
      </c>
      <c r="F3" s="154" t="s">
        <v>221</v>
      </c>
      <c r="G3" s="118" t="s">
        <v>222</v>
      </c>
      <c r="H3" s="117" t="s">
        <v>223</v>
      </c>
      <c r="I3" s="117" t="s">
        <v>224</v>
      </c>
      <c r="K3" s="154" t="s">
        <v>225</v>
      </c>
      <c r="L3" s="118" t="s">
        <v>222</v>
      </c>
      <c r="M3" s="117" t="s">
        <v>223</v>
      </c>
      <c r="N3" s="117" t="s">
        <v>224</v>
      </c>
      <c r="O3" s="119" t="s">
        <v>226</v>
      </c>
      <c r="X3" s="100"/>
      <c r="Y3" s="100"/>
      <c r="Z3" s="100"/>
      <c r="AA3" s="100"/>
    </row>
    <row r="4" spans="2:27" ht="15.75" x14ac:dyDescent="0.25">
      <c r="B4" s="98" t="s">
        <v>7</v>
      </c>
      <c r="C4" s="99" t="s">
        <v>227</v>
      </c>
      <c r="D4" s="168">
        <v>441500</v>
      </c>
      <c r="E4" s="172">
        <f>ROUND(D4,-3)</f>
        <v>442000</v>
      </c>
      <c r="F4" s="128">
        <f>E4*1.5</f>
        <v>663000</v>
      </c>
      <c r="G4" s="129">
        <f>F4/(2000*0.453592)</f>
        <v>730.83299529092221</v>
      </c>
      <c r="H4" s="170">
        <f>(VLOOKUP(B4,'2025 Regression Curves'!$A$5:$H$17,4,FALSE)*G4)/(VLOOKUP(B4,'2025 Regression Curves'!$A$5:$H$17,5,FALSE)+G4)</f>
        <v>0.12506237690438701</v>
      </c>
      <c r="I4" s="122">
        <f>H4/0.883</f>
        <v>0.1416334959279581</v>
      </c>
      <c r="J4" s="124"/>
      <c r="K4" s="130">
        <f>E4*5</f>
        <v>2210000</v>
      </c>
      <c r="L4" s="131">
        <f>K4/(2000*0.453592)</f>
        <v>2436.1099843030743</v>
      </c>
      <c r="M4" s="120">
        <f>IF(L4&gt;O4,(VLOOKUP(B4,'2025 Regression Curves'!$A$5:$H$17,4,FALSE)*O4)/(VLOOKUP(B4,'2025 Regression Curves'!$A$5:$H$17,5,FALSE)+O4),(VLOOKUP(B4,'2025 Regression Curves'!$A$5:$H$17,4,FALSE)*L4)/(VLOOKUP(B4,'2025 Regression Curves'!$A$5:$H$17,5,FALSE)+L4))</f>
        <v>0.18551994726453949</v>
      </c>
      <c r="N4" s="120">
        <f>M4/0.883</f>
        <v>0.21010186553175481</v>
      </c>
      <c r="O4" s="115">
        <f>VLOOKUP(B4,'2025 Regression Curves'!$A$5:$H$17,6,FALSE)</f>
        <v>3000</v>
      </c>
      <c r="X4" s="100"/>
      <c r="Y4" s="100"/>
      <c r="Z4" s="100"/>
      <c r="AA4" s="100"/>
    </row>
    <row r="5" spans="2:27" ht="15.75" x14ac:dyDescent="0.25">
      <c r="B5" s="113" t="s">
        <v>8</v>
      </c>
      <c r="C5" s="114" t="s">
        <v>228</v>
      </c>
      <c r="D5" s="169">
        <v>218500</v>
      </c>
      <c r="E5" s="172">
        <f t="shared" ref="E5:E15" si="0">ROUND(D5,-3)</f>
        <v>219000</v>
      </c>
      <c r="F5" s="128">
        <f t="shared" ref="F5:F14" si="1">E5*1.5</f>
        <v>328500</v>
      </c>
      <c r="G5" s="126">
        <f>F5/(2000*0.453592)</f>
        <v>362.10956101518548</v>
      </c>
      <c r="H5" s="170">
        <f>(VLOOKUP(B5,'2025 Regression Curves'!$A$5:$H$17,4,FALSE)*G5)/(VLOOKUP(B5,'2025 Regression Curves'!$A$5:$H$17,5,FALSE)+G5)</f>
        <v>0.12514893521262876</v>
      </c>
      <c r="I5" s="121">
        <f t="shared" ref="I5:I14" si="2">H5/0.883</f>
        <v>0.14173152345711071</v>
      </c>
      <c r="J5" s="124"/>
      <c r="K5" s="130">
        <f t="shared" ref="K5:K14" si="3">D5*5</f>
        <v>1092500</v>
      </c>
      <c r="L5" s="131">
        <f>K5/(2000*0.453592)</f>
        <v>1204.2760895253884</v>
      </c>
      <c r="M5" s="120">
        <f>IF(L5&gt;O5,(VLOOKUP(B5,'2025 Regression Curves'!$A$5:$H$17,4,FALSE)*O5)/(VLOOKUP(B5,'2025 Regression Curves'!$A$5:$H$17,5,FALSE)+O5),(VLOOKUP(B5,'2025 Regression Curves'!$A$5:$H$17,4,FALSE)*L5)/(VLOOKUP(B5,'2025 Regression Curves'!$A$5:$H$17,5,FALSE)+L5))</f>
        <v>0.20950378106281325</v>
      </c>
      <c r="N5" s="120">
        <f>M5/0.883</f>
        <v>0.23726362521269903</v>
      </c>
      <c r="O5" s="115">
        <f>VLOOKUP(B5,'2025 Regression Curves'!$A$5:$H$17,6,FALSE)</f>
        <v>2000</v>
      </c>
      <c r="X5" s="101"/>
      <c r="Y5" s="101"/>
      <c r="Z5" s="100"/>
      <c r="AA5" s="100"/>
    </row>
    <row r="6" spans="2:27" ht="15.75" x14ac:dyDescent="0.25">
      <c r="B6" s="98" t="s">
        <v>198</v>
      </c>
      <c r="C6" s="99" t="s">
        <v>229</v>
      </c>
      <c r="D6" s="168">
        <v>528357.92104316084</v>
      </c>
      <c r="E6" s="172">
        <f t="shared" si="0"/>
        <v>528000</v>
      </c>
      <c r="F6" s="128">
        <f t="shared" si="1"/>
        <v>792000</v>
      </c>
      <c r="G6" s="129">
        <f>F6/(2000*0.453592)</f>
        <v>873.03127039277592</v>
      </c>
      <c r="H6" s="170">
        <f>(VLOOKUP(B6,'2025 Regression Curves'!$A$5:$H$17,4,FALSE)*G6)/(VLOOKUP(B6,'2025 Regression Curves'!$A$5:$H$17,5,FALSE)+G6)</f>
        <v>0.12495581750392937</v>
      </c>
      <c r="I6" s="122">
        <f>H6/0.883</f>
        <v>0.14151281710524277</v>
      </c>
      <c r="J6" s="124"/>
      <c r="K6" s="130">
        <f t="shared" ref="K6" si="4">D6*5</f>
        <v>2641789.6052158042</v>
      </c>
      <c r="L6" s="131">
        <f>K6/(2000*0.453592)</f>
        <v>2912.0769383232114</v>
      </c>
      <c r="M6" s="120">
        <f>IF(L6&gt;O6,(VLOOKUP(B6,'2025 Regression Curves'!$A$5:$H$17,4,FALSE)*O6)/(VLOOKUP(B6,'2025 Regression Curves'!$A$5:$H$17,5,FALSE)+O6),(VLOOKUP(B6,'2025 Regression Curves'!$A$5:$H$17,4,FALSE)*L6)/(VLOOKUP(B6,'2025 Regression Curves'!$A$5:$H$17,5,FALSE)+L6))</f>
        <v>0.18348951179047535</v>
      </c>
      <c r="N6" s="120">
        <f>M6/0.883</f>
        <v>0.20780239160869235</v>
      </c>
      <c r="O6" s="115">
        <f>VLOOKUP(B6,'2025 Regression Curves'!$A$5:$H$17,6,FALSE)</f>
        <v>2000</v>
      </c>
      <c r="X6" s="101"/>
      <c r="Y6" s="101"/>
      <c r="Z6" s="100"/>
      <c r="AA6" s="100"/>
    </row>
    <row r="7" spans="2:27" ht="15.75" x14ac:dyDescent="0.25">
      <c r="B7" s="98" t="s">
        <v>9</v>
      </c>
      <c r="C7" s="99" t="s">
        <v>230</v>
      </c>
      <c r="D7" s="168">
        <v>984000</v>
      </c>
      <c r="E7" s="172">
        <f t="shared" si="0"/>
        <v>984000</v>
      </c>
      <c r="F7" s="128">
        <f t="shared" si="1"/>
        <v>1476000</v>
      </c>
      <c r="G7" s="129">
        <f t="shared" ref="G7:G12" si="5">F7/(2000*0.453592)</f>
        <v>1627.0128220956278</v>
      </c>
      <c r="H7" s="170">
        <f>(VLOOKUP(B7,'2025 Regression Curves'!$A$5:$H$17,4,FALSE)*G7)/(VLOOKUP(B7,'2025 Regression Curves'!$A$5:$H$17,5,FALSE)+G7)</f>
        <v>0.12498925111653748</v>
      </c>
      <c r="I7" s="122">
        <f t="shared" si="2"/>
        <v>0.1415506807661806</v>
      </c>
      <c r="J7" s="124"/>
      <c r="K7" s="130">
        <f t="shared" si="3"/>
        <v>4920000</v>
      </c>
      <c r="L7" s="131">
        <f t="shared" ref="L7:L14" si="6">K7/(2000*0.453592)</f>
        <v>5423.3760736520926</v>
      </c>
      <c r="M7" s="120">
        <f>IF(L7&gt;O7,(VLOOKUP(B7,'2025 Regression Curves'!$A$5:$H$17,4,FALSE)*O7)/(VLOOKUP(B7,'2025 Regression Curves'!$A$5:$H$17,5,FALSE)+O7),(VLOOKUP(B7,'2025 Regression Curves'!$A$5:$H$17,4,FALSE)*L7)/(VLOOKUP(B7,'2025 Regression Curves'!$A$5:$H$17,5,FALSE)+L7))</f>
        <v>0.17400567273115428</v>
      </c>
      <c r="N7" s="120">
        <f t="shared" ref="N7:N14" si="7">M7/0.883</f>
        <v>0.19706191702282477</v>
      </c>
      <c r="O7" s="115">
        <f>VLOOKUP(B7,'2025 Regression Curves'!$A$5:$H$17,6,FALSE)</f>
        <v>4000</v>
      </c>
      <c r="X7" s="101"/>
      <c r="Y7" s="101"/>
      <c r="Z7" s="100"/>
      <c r="AA7" s="100"/>
    </row>
    <row r="8" spans="2:27" ht="15.75" x14ac:dyDescent="0.25">
      <c r="B8" s="98" t="s">
        <v>10</v>
      </c>
      <c r="C8" s="99" t="s">
        <v>264</v>
      </c>
      <c r="D8" s="168">
        <v>290000</v>
      </c>
      <c r="E8" s="172">
        <f t="shared" si="0"/>
        <v>290000</v>
      </c>
      <c r="F8" s="128">
        <f t="shared" si="1"/>
        <v>435000</v>
      </c>
      <c r="G8" s="129">
        <f>F8/(2000*0.453592)</f>
        <v>479.5058113899716</v>
      </c>
      <c r="H8" s="170">
        <f>(VLOOKUP(B8,'2025 Regression Curves'!$A$5:$H$17,4,FALSE)*G8)/(VLOOKUP(B8,'2025 Regression Curves'!$A$5:$H$17,5,FALSE)+G8)</f>
        <v>0.1249570099842879</v>
      </c>
      <c r="I8" s="122">
        <f>H8/0.883</f>
        <v>0.14151416759262503</v>
      </c>
      <c r="J8" s="124"/>
      <c r="K8" s="130">
        <f>D8*5</f>
        <v>1450000</v>
      </c>
      <c r="L8" s="131">
        <f>K8/(2000*0.453592)</f>
        <v>1598.3527046332388</v>
      </c>
      <c r="M8" s="120">
        <f>IF(L8&gt;O8,(VLOOKUP(B8,'2025 Regression Curves'!$A$5:$H$17,4,FALSE)*O8)/(VLOOKUP(B8,'2025 Regression Curves'!$A$5:$H$17,5,FALSE)+O8),(VLOOKUP(B8,'2025 Regression Curves'!$A$5:$H$17,4,FALSE)*L8)/(VLOOKUP(B8,'2025 Regression Curves'!$A$5:$H$17,5,FALSE)+L8))</f>
        <v>0.17293653240454065</v>
      </c>
      <c r="N8" s="120">
        <f>M8/0.883</f>
        <v>0.19585111257592372</v>
      </c>
      <c r="O8" s="115">
        <f>VLOOKUP(B8,'2025 Regression Curves'!$A$5:$H$17,6,FALSE)</f>
        <v>3000</v>
      </c>
      <c r="X8" s="101"/>
      <c r="Y8" s="101"/>
      <c r="Z8" s="100"/>
      <c r="AA8" s="100"/>
    </row>
    <row r="9" spans="2:27" ht="15.75" x14ac:dyDescent="0.25">
      <c r="B9" s="98" t="s">
        <v>11</v>
      </c>
      <c r="C9" s="99" t="s">
        <v>231</v>
      </c>
      <c r="D9" s="168">
        <v>1132122.3229768043</v>
      </c>
      <c r="E9" s="172">
        <f t="shared" si="0"/>
        <v>1132000</v>
      </c>
      <c r="F9" s="128">
        <f t="shared" si="1"/>
        <v>1698000</v>
      </c>
      <c r="G9" s="129">
        <f>F9/(2000*0.453592)</f>
        <v>1871.7261327360272</v>
      </c>
      <c r="H9" s="170">
        <f>(VLOOKUP(B9,'2025 Regression Curves'!$A$5:$H$17,4,FALSE)*G9)/(VLOOKUP(B9,'2025 Regression Curves'!$A$5:$H$17,5,FALSE)+G9)</f>
        <v>0.12498584076727495</v>
      </c>
      <c r="I9" s="122">
        <f>H9/0.883</f>
        <v>0.14154681853598522</v>
      </c>
      <c r="J9" s="124"/>
      <c r="K9" s="130">
        <f>D9*5</f>
        <v>5660611.6148840217</v>
      </c>
      <c r="L9" s="131">
        <f>K9/(2000*0.453592)</f>
        <v>6239.7612996746211</v>
      </c>
      <c r="M9" s="120">
        <f>IF(L9&gt;O9,(VLOOKUP(B9,'2025 Regression Curves'!$A$5:$H$17,4,FALSE)*O9)/(VLOOKUP(B9,'2025 Regression Curves'!$A$5:$H$17,5,FALSE)+O9),(VLOOKUP(B9,'2025 Regression Curves'!$A$5:$H$17,4,FALSE)*L9)/(VLOOKUP(B9,'2025 Regression Curves'!$A$5:$H$17,5,FALSE)+L9))</f>
        <v>0.13207453314195744</v>
      </c>
      <c r="N9" s="120">
        <f>M9/0.883</f>
        <v>0.14957478272022359</v>
      </c>
      <c r="O9" s="115">
        <f>VLOOKUP(B9,'2025 Regression Curves'!$A$5:$H$17,6,FALSE)</f>
        <v>2000</v>
      </c>
      <c r="X9" s="101"/>
      <c r="Y9" s="101"/>
      <c r="Z9" s="100"/>
      <c r="AA9" s="100"/>
    </row>
    <row r="10" spans="2:27" ht="15.75" x14ac:dyDescent="0.25">
      <c r="B10" s="98" t="s">
        <v>12</v>
      </c>
      <c r="C10" s="99" t="s">
        <v>232</v>
      </c>
      <c r="D10" s="168">
        <v>302500</v>
      </c>
      <c r="E10" s="172">
        <f t="shared" si="0"/>
        <v>303000</v>
      </c>
      <c r="F10" s="128">
        <f t="shared" si="1"/>
        <v>454500</v>
      </c>
      <c r="G10" s="129">
        <f t="shared" si="5"/>
        <v>501.00089948676344</v>
      </c>
      <c r="H10" s="170">
        <f>(VLOOKUP(B10,'2025 Regression Curves'!$A$5:$H$17,4,FALSE)*G10)/(VLOOKUP(B10,'2025 Regression Curves'!$A$5:$H$17,5,FALSE)+G10)</f>
        <v>0.12506851284893389</v>
      </c>
      <c r="I10" s="122">
        <f t="shared" si="2"/>
        <v>0.14164044490252989</v>
      </c>
      <c r="J10" s="124"/>
      <c r="K10" s="130">
        <f t="shared" si="3"/>
        <v>1512500</v>
      </c>
      <c r="L10" s="131">
        <f t="shared" si="6"/>
        <v>1667.2472177639818</v>
      </c>
      <c r="M10" s="120">
        <f>IF(L10&gt;O10,(VLOOKUP(B10,'2025 Regression Curves'!$A$5:$H$17,4,FALSE)*O10)/(VLOOKUP(B10,'2025 Regression Curves'!$A$5:$H$17,5,FALSE)+O10),(VLOOKUP(B10,'2025 Regression Curves'!$A$5:$H$17,4,FALSE)*L10)/(VLOOKUP(B10,'2025 Regression Curves'!$A$5:$H$17,5,FALSE)+L10))</f>
        <v>0.15955799227265982</v>
      </c>
      <c r="N10" s="120">
        <f t="shared" si="7"/>
        <v>0.18069987799848225</v>
      </c>
      <c r="O10" s="115">
        <f>VLOOKUP(B10,'2025 Regression Curves'!$A$5:$H$17,6,FALSE)</f>
        <v>2000</v>
      </c>
      <c r="X10" s="101"/>
      <c r="Y10" s="101"/>
      <c r="Z10" s="100"/>
      <c r="AA10" s="100"/>
    </row>
    <row r="11" spans="2:27" ht="15.75" x14ac:dyDescent="0.25">
      <c r="B11" s="98" t="s">
        <v>13</v>
      </c>
      <c r="C11" s="99" t="s">
        <v>233</v>
      </c>
      <c r="D11" s="168">
        <v>266000</v>
      </c>
      <c r="E11" s="172">
        <f t="shared" si="0"/>
        <v>266000</v>
      </c>
      <c r="F11" s="128">
        <f t="shared" si="1"/>
        <v>399000</v>
      </c>
      <c r="G11" s="129">
        <f t="shared" si="5"/>
        <v>439.82257182666365</v>
      </c>
      <c r="H11" s="170">
        <f>(VLOOKUP(B11,'2025 Regression Curves'!$A$5:$H$17,4,FALSE)*G11)/(VLOOKUP(B11,'2025 Regression Curves'!$A$5:$H$17,5,FALSE)+G11)</f>
        <v>0.12504462589149415</v>
      </c>
      <c r="I11" s="122">
        <f t="shared" si="2"/>
        <v>0.14161339285559926</v>
      </c>
      <c r="J11" s="124"/>
      <c r="K11" s="130">
        <f t="shared" si="3"/>
        <v>1330000</v>
      </c>
      <c r="L11" s="131">
        <f t="shared" si="6"/>
        <v>1466.075239422212</v>
      </c>
      <c r="M11" s="120">
        <f>IF(L11&gt;O11,(VLOOKUP(B11,'2025 Regression Curves'!$A$5:$H$17,4,FALSE)*O11)/(VLOOKUP(B11,'2025 Regression Curves'!$A$5:$H$17,5,FALSE)+O11),(VLOOKUP(B11,'2025 Regression Curves'!$A$5:$H$17,4,FALSE)*L11)/(VLOOKUP(B11,'2025 Regression Curves'!$A$5:$H$17,5,FALSE)+L11))</f>
        <v>0.17347473755877313</v>
      </c>
      <c r="N11" s="120">
        <f t="shared" si="7"/>
        <v>0.19646063143688916</v>
      </c>
      <c r="O11" s="115">
        <f>VLOOKUP(B11,'2025 Regression Curves'!$A$5:$H$17,6,FALSE)</f>
        <v>2000</v>
      </c>
      <c r="X11" s="101"/>
      <c r="Y11" s="101"/>
      <c r="Z11" s="100"/>
      <c r="AA11" s="100"/>
    </row>
    <row r="12" spans="2:27" ht="15.75" x14ac:dyDescent="0.25">
      <c r="B12" s="98" t="s">
        <v>14</v>
      </c>
      <c r="C12" s="99" t="s">
        <v>234</v>
      </c>
      <c r="D12" s="168">
        <v>265700</v>
      </c>
      <c r="E12" s="172">
        <f t="shared" si="0"/>
        <v>266000</v>
      </c>
      <c r="F12" s="128">
        <f t="shared" si="1"/>
        <v>399000</v>
      </c>
      <c r="G12" s="129">
        <f t="shared" si="5"/>
        <v>439.82257182666365</v>
      </c>
      <c r="H12" s="170">
        <f>(VLOOKUP(B12,'2025 Regression Curves'!$A$5:$H$17,4,FALSE)*G12)/(VLOOKUP(B12,'2025 Regression Curves'!$A$5:$H$17,5,FALSE)+G12)</f>
        <v>0.12504780390670164</v>
      </c>
      <c r="I12" s="122">
        <f t="shared" si="2"/>
        <v>0.14161699196681954</v>
      </c>
      <c r="J12" s="124"/>
      <c r="K12" s="130">
        <f t="shared" si="3"/>
        <v>1328500</v>
      </c>
      <c r="L12" s="131">
        <f t="shared" si="6"/>
        <v>1464.4217711070742</v>
      </c>
      <c r="M12" s="120">
        <f>IF(L12&gt;O12,(VLOOKUP(B12,'2025 Regression Curves'!$A$5:$H$17,4,FALSE)*O12)/(VLOOKUP(B12,'2025 Regression Curves'!$A$5:$H$17,5,FALSE)+O12),(VLOOKUP(B12,'2025 Regression Curves'!$A$5:$H$17,4,FALSE)*L12)/(VLOOKUP(B12,'2025 Regression Curves'!$A$5:$H$17,5,FALSE)+L12))</f>
        <v>0.18634265915864465</v>
      </c>
      <c r="N12" s="120">
        <f t="shared" si="7"/>
        <v>0.21103358908113776</v>
      </c>
      <c r="O12" s="115">
        <f>VLOOKUP(B12,'2025 Regression Curves'!$A$5:$H$17,6,FALSE)</f>
        <v>2000</v>
      </c>
      <c r="X12" s="101"/>
      <c r="Y12" s="101"/>
      <c r="Z12" s="100"/>
      <c r="AA12" s="100"/>
    </row>
    <row r="13" spans="2:27" ht="15.75" x14ac:dyDescent="0.25">
      <c r="B13" s="98" t="s">
        <v>15</v>
      </c>
      <c r="C13" s="99" t="s">
        <v>235</v>
      </c>
      <c r="D13" s="168">
        <v>815000</v>
      </c>
      <c r="E13" s="172">
        <f t="shared" si="0"/>
        <v>815000</v>
      </c>
      <c r="F13" s="128">
        <f t="shared" si="1"/>
        <v>1222500</v>
      </c>
      <c r="G13" s="129">
        <f>F13/(2000*0.453592)</f>
        <v>1347.5766768373339</v>
      </c>
      <c r="H13" s="170">
        <f>(VLOOKUP(B13,'2025 Regression Curves'!$A$5:$H$17,4,FALSE)*G13)/(VLOOKUP(B13,'2025 Regression Curves'!$A$5:$H$17,5,FALSE)+G13)</f>
        <v>0.12495132259739099</v>
      </c>
      <c r="I13" s="122">
        <f t="shared" si="2"/>
        <v>0.14150772661086181</v>
      </c>
      <c r="J13" s="124"/>
      <c r="K13" s="130">
        <f t="shared" si="3"/>
        <v>4075000</v>
      </c>
      <c r="L13" s="131">
        <f t="shared" si="6"/>
        <v>4491.9222561244469</v>
      </c>
      <c r="M13" s="120">
        <f>IF(L13&gt;O13,(VLOOKUP(B13,'2025 Regression Curves'!$A$5:$H$17,4,FALSE)*O13)/(VLOOKUP(B13,'2025 Regression Curves'!$A$5:$H$17,5,FALSE)+O13),(VLOOKUP(B13,'2025 Regression Curves'!$A$5:$H$17,4,FALSE)*L13)/(VLOOKUP(B13,'2025 Regression Curves'!$A$5:$H$17,5,FALSE)+L13))</f>
        <v>0.13793035588843139</v>
      </c>
      <c r="N13" s="120">
        <f t="shared" si="7"/>
        <v>0.15620651855994494</v>
      </c>
      <c r="O13" s="115">
        <f>VLOOKUP(B13,'2025 Regression Curves'!$A$5:$H$17,6,FALSE)</f>
        <v>2500</v>
      </c>
      <c r="X13" s="101"/>
      <c r="Y13" s="101"/>
      <c r="Z13" s="100"/>
      <c r="AA13" s="100"/>
    </row>
    <row r="14" spans="2:27" ht="15.75" x14ac:dyDescent="0.25">
      <c r="B14" s="98" t="s">
        <v>16</v>
      </c>
      <c r="C14" s="99" t="s">
        <v>236</v>
      </c>
      <c r="D14" s="168">
        <v>917139.74856422958</v>
      </c>
      <c r="E14" s="172">
        <f t="shared" si="0"/>
        <v>917000</v>
      </c>
      <c r="F14" s="128">
        <f t="shared" si="1"/>
        <v>1375500</v>
      </c>
      <c r="G14" s="129">
        <f t="shared" ref="G14" si="8">F14/(2000*0.453592)</f>
        <v>1516.230444981393</v>
      </c>
      <c r="H14" s="170">
        <f>(VLOOKUP(B14,'2025 Regression Curves'!$A$5:$H$17,4,FALSE)*G14)/(VLOOKUP(B14,'2025 Regression Curves'!$A$5:$H$17,5,FALSE)+G14)</f>
        <v>0.12495710245614591</v>
      </c>
      <c r="I14" s="122">
        <f t="shared" si="2"/>
        <v>0.14151427231726604</v>
      </c>
      <c r="J14" s="124"/>
      <c r="K14" s="130">
        <f t="shared" si="3"/>
        <v>4585698.7428211477</v>
      </c>
      <c r="L14" s="131">
        <f t="shared" si="6"/>
        <v>5054.8717160147753</v>
      </c>
      <c r="M14" s="120">
        <f>IF(L14&gt;O14,(VLOOKUP(B14,'2025 Regression Curves'!$A$5:$H$17,4,FALSE)*O14)/(VLOOKUP(B14,'2025 Regression Curves'!$A$5:$H$17,5,FALSE)+O14),(VLOOKUP(B14,'2025 Regression Curves'!$A$5:$H$17,4,FALSE)*L14)/(VLOOKUP(B14,'2025 Regression Curves'!$A$5:$H$17,5,FALSE)+L14))</f>
        <v>0.146411869984412</v>
      </c>
      <c r="N14" s="120">
        <f t="shared" si="7"/>
        <v>0.1658118572869898</v>
      </c>
      <c r="O14" s="115">
        <f>VLOOKUP(B14,'2025 Regression Curves'!$A$5:$H$17,6,FALSE)</f>
        <v>2000</v>
      </c>
      <c r="X14" s="101"/>
      <c r="Y14" s="101"/>
      <c r="Z14" s="100"/>
      <c r="AA14" s="100"/>
    </row>
    <row r="15" spans="2:27" ht="15.75" x14ac:dyDescent="0.25">
      <c r="B15" s="102" t="s">
        <v>251</v>
      </c>
      <c r="C15" s="174" t="s">
        <v>255</v>
      </c>
      <c r="D15" s="168">
        <v>320000</v>
      </c>
      <c r="E15" s="172">
        <f t="shared" si="0"/>
        <v>320000</v>
      </c>
      <c r="F15" s="128">
        <f>E15*1.5</f>
        <v>480000</v>
      </c>
      <c r="G15" s="129">
        <f>F15/(2000*0.453592)</f>
        <v>529.10986084410661</v>
      </c>
      <c r="H15" s="170">
        <f>(VLOOKUP(B15,'2025 Regression Curves'!$A$5:$H$17,4,FALSE)*G15)/(VLOOKUP(B15,'2025 Regression Curves'!$A$5:$H$17,5,FALSE)+G15)</f>
        <v>0.12501443422527533</v>
      </c>
      <c r="I15" s="122">
        <f>H15/0.883</f>
        <v>0.14157920070812607</v>
      </c>
      <c r="J15" s="124"/>
      <c r="K15" s="130">
        <f t="shared" ref="K15" si="9">D15*5</f>
        <v>1600000</v>
      </c>
      <c r="L15" s="131">
        <f t="shared" ref="L15" si="10">K15/(2000*0.453592)</f>
        <v>1763.6995361470219</v>
      </c>
      <c r="M15" s="120">
        <f>IF(L15&gt;O15,(VLOOKUP(B15,'2025 Regression Curves'!$A$5:$H$17,4,FALSE)*O15)/(VLOOKUP(B15,'2025 Regression Curves'!$A$5:$H$17,5,FALSE)+O15),(VLOOKUP(B15,'2025 Regression Curves'!$A$5:$H$17,4,FALSE)*L15)/(VLOOKUP(B15,'2025 Regression Curves'!$A$5:$H$17,5,FALSE)+L15))</f>
        <v>0.16374175680775055</v>
      </c>
      <c r="N15" s="120">
        <f t="shared" ref="N15" si="11">M15/0.883</f>
        <v>0.18543800317978545</v>
      </c>
      <c r="O15" s="115">
        <f>VLOOKUP(B15,'2025 Regression Curves'!$A$5:$H$17,6,FALSE)</f>
        <v>1500</v>
      </c>
      <c r="X15" s="101"/>
      <c r="Y15" s="101"/>
      <c r="Z15" s="100"/>
      <c r="AA15" s="100"/>
    </row>
    <row r="16" spans="2:27" x14ac:dyDescent="0.25">
      <c r="D16" s="171" t="s">
        <v>260</v>
      </c>
      <c r="E16" s="171" t="s">
        <v>261</v>
      </c>
      <c r="H16" s="171" t="s">
        <v>259</v>
      </c>
      <c r="J16" s="93"/>
      <c r="X16" s="101"/>
      <c r="Y16" s="100"/>
      <c r="Z16" s="100"/>
      <c r="AA16" s="100"/>
    </row>
    <row r="17" spans="2:27" x14ac:dyDescent="0.25">
      <c r="X17" s="100"/>
      <c r="Y17" s="100"/>
      <c r="Z17" s="100"/>
      <c r="AA17" s="100"/>
    </row>
    <row r="19" spans="2:27" ht="27" thickBot="1" x14ac:dyDescent="0.45">
      <c r="C19" s="94" t="s">
        <v>237</v>
      </c>
      <c r="F19" s="208" t="s">
        <v>238</v>
      </c>
      <c r="G19" s="208"/>
      <c r="H19" s="208"/>
      <c r="I19" s="208"/>
    </row>
    <row r="20" spans="2:27" ht="26.25" x14ac:dyDescent="0.4">
      <c r="C20" s="94"/>
      <c r="D20" s="95" t="s">
        <v>215</v>
      </c>
      <c r="E20" s="95"/>
      <c r="F20" s="95" t="s">
        <v>216</v>
      </c>
      <c r="H20" s="93" t="s">
        <v>217</v>
      </c>
      <c r="I20" s="93" t="s">
        <v>217</v>
      </c>
      <c r="K20" s="96"/>
      <c r="L20" s="96"/>
      <c r="M20" s="96"/>
      <c r="N20" s="96"/>
    </row>
    <row r="21" spans="2:27" ht="15.75" thickBot="1" x14ac:dyDescent="0.3">
      <c r="B21" s="117" t="s">
        <v>218</v>
      </c>
      <c r="C21" s="117" t="s">
        <v>219</v>
      </c>
      <c r="D21" s="118" t="s">
        <v>220</v>
      </c>
      <c r="E21" s="167" t="s">
        <v>258</v>
      </c>
      <c r="F21" s="154" t="s">
        <v>239</v>
      </c>
      <c r="G21" s="118" t="s">
        <v>240</v>
      </c>
      <c r="H21" s="117" t="s">
        <v>223</v>
      </c>
      <c r="I21" s="117" t="s">
        <v>224</v>
      </c>
      <c r="K21" s="119" t="s">
        <v>226</v>
      </c>
      <c r="L21" s="97"/>
      <c r="M21" s="97"/>
      <c r="N21" s="97"/>
    </row>
    <row r="22" spans="2:27" ht="15.75" x14ac:dyDescent="0.25">
      <c r="B22" s="98" t="s">
        <v>7</v>
      </c>
      <c r="C22" s="99" t="s">
        <v>227</v>
      </c>
      <c r="D22" s="127">
        <f>F22/10</f>
        <v>132450</v>
      </c>
      <c r="E22" s="173">
        <f>ROUND(D22,-3)</f>
        <v>132000</v>
      </c>
      <c r="F22" s="135">
        <f>VLOOKUP(B22,$B$4:$E$15,3,FALSE)*3</f>
        <v>1324500</v>
      </c>
      <c r="G22" s="136">
        <f>F22/(2000*0.453592)</f>
        <v>1460.0125222667066</v>
      </c>
      <c r="H22" s="116">
        <f>IF(G22&gt;K22,(VLOOKUP(B22,'2025 Regression Curves'!$A$5:$H$17,4,FALSE)*K22)/(VLOOKUP(B22,'2025 Regression Curves'!$A$5:$H$17,5,FALSE)+K22),(VLOOKUP(B22,'2025 Regression Curves'!$A$5:$H$17,4,FALSE)*G22)/(VLOOKUP(B22,'2025 Regression Curves'!$A$5:$H$17,5,FALSE)+G22))</f>
        <v>0.16294965082172025</v>
      </c>
      <c r="I22" s="121">
        <f t="shared" ref="I22:I30" si="12">H22/0.883</f>
        <v>0.18454094090795045</v>
      </c>
      <c r="J22" s="124"/>
      <c r="K22" s="115">
        <f>VLOOKUP(B22,'2025 Regression Curves'!$A$5:$H$17,6,FALSE)</f>
        <v>3000</v>
      </c>
      <c r="L22" s="97"/>
      <c r="M22" s="97"/>
      <c r="N22" s="97"/>
    </row>
    <row r="23" spans="2:27" ht="15.75" x14ac:dyDescent="0.25">
      <c r="B23" s="113" t="s">
        <v>8</v>
      </c>
      <c r="C23" s="114" t="s">
        <v>263</v>
      </c>
      <c r="D23" s="127">
        <f t="shared" ref="D23:D30" si="13">F23/10</f>
        <v>65550</v>
      </c>
      <c r="E23" s="173">
        <f t="shared" ref="E23:E33" si="14">ROUND(D23,-3)</f>
        <v>66000</v>
      </c>
      <c r="F23" s="135">
        <f t="shared" ref="F23:F33" si="15">VLOOKUP(B23,$B$4:$E$15,3,FALSE)*3</f>
        <v>655500</v>
      </c>
      <c r="G23" s="136">
        <f t="shared" ref="G23:G30" si="16">F23/(2000*0.453592)</f>
        <v>722.56565371523311</v>
      </c>
      <c r="H23" s="116">
        <f>IF(G23&gt;K23,(VLOOKUP(B23,'2025 Regression Curves'!$A$5:$H$17,4,FALSE)*K23)/(VLOOKUP(B23,'2025 Regression Curves'!$A$5:$H$17,5,FALSE)+K23),(VLOOKUP(B23,'2025 Regression Curves'!$A$5:$H$17,4,FALSE)*G23)/(VLOOKUP(B23,'2025 Regression Curves'!$A$5:$H$17,5,FALSE)+G23))</f>
        <v>0.17557971022387872</v>
      </c>
      <c r="I23" s="121">
        <f t="shared" si="12"/>
        <v>0.19884451893984001</v>
      </c>
      <c r="J23" s="124"/>
      <c r="K23" s="115">
        <f>VLOOKUP(B23,'2025 Regression Curves'!$A$5:$H$17,6,FALSE)</f>
        <v>2000</v>
      </c>
      <c r="L23" s="124"/>
      <c r="M23" s="124"/>
      <c r="N23" s="124"/>
      <c r="P23" s="132"/>
    </row>
    <row r="24" spans="2:27" ht="15.75" x14ac:dyDescent="0.25">
      <c r="B24" s="98" t="s">
        <v>198</v>
      </c>
      <c r="C24" s="99" t="s">
        <v>229</v>
      </c>
      <c r="D24" s="127">
        <f t="shared" si="13"/>
        <v>158507.37631294824</v>
      </c>
      <c r="E24" s="173">
        <f t="shared" si="14"/>
        <v>159000</v>
      </c>
      <c r="F24" s="135">
        <f t="shared" si="15"/>
        <v>1585073.7631294825</v>
      </c>
      <c r="G24" s="134">
        <f t="shared" si="16"/>
        <v>1747.2461629939269</v>
      </c>
      <c r="H24" s="116">
        <f>IF(G24&gt;K24,(VLOOKUP(B24,'2025 Regression Curves'!$A$5:$H$17,4,FALSE)*K24)/(VLOOKUP(B24,'2025 Regression Curves'!$A$5:$H$17,5,FALSE)+K24),(VLOOKUP(B24,'2025 Regression Curves'!$A$5:$H$17,4,FALSE)*G24)/(VLOOKUP(B24,'2025 Regression Curves'!$A$5:$H$17,5,FALSE)+G24))</f>
        <v>0.17433779445128664</v>
      </c>
      <c r="I24" s="122">
        <f t="shared" si="12"/>
        <v>0.19743804581119664</v>
      </c>
      <c r="K24" s="115">
        <f>VLOOKUP(B24,'2025 Regression Curves'!$A$5:$H$17,6,FALSE)</f>
        <v>2000</v>
      </c>
      <c r="L24" s="124"/>
      <c r="M24" s="124"/>
      <c r="N24" s="124"/>
    </row>
    <row r="25" spans="2:27" ht="15.75" x14ac:dyDescent="0.25">
      <c r="B25" s="98" t="s">
        <v>9</v>
      </c>
      <c r="C25" s="99" t="s">
        <v>230</v>
      </c>
      <c r="D25" s="127">
        <f t="shared" si="13"/>
        <v>295200</v>
      </c>
      <c r="E25" s="173">
        <f t="shared" si="14"/>
        <v>295000</v>
      </c>
      <c r="F25" s="135">
        <f t="shared" si="15"/>
        <v>2952000</v>
      </c>
      <c r="G25" s="134">
        <f t="shared" si="16"/>
        <v>3254.0256441912557</v>
      </c>
      <c r="H25" s="116">
        <f>IF(G25&gt;K25,(VLOOKUP(B25,'2025 Regression Curves'!$A$5:$H$17,4,FALSE)*K25)/(VLOOKUP(B25,'2025 Regression Curves'!$A$5:$H$17,5,FALSE)+K25),(VLOOKUP(B25,'2025 Regression Curves'!$A$5:$H$17,4,FALSE)*G25)/(VLOOKUP(B25,'2025 Regression Curves'!$A$5:$H$17,5,FALSE)+G25))</f>
        <v>0.16390260413626145</v>
      </c>
      <c r="I25" s="122">
        <f t="shared" si="12"/>
        <v>0.18562016323472419</v>
      </c>
      <c r="J25" s="124"/>
      <c r="K25" s="115">
        <f>VLOOKUP(B25,'2025 Regression Curves'!$A$5:$H$17,6,FALSE)</f>
        <v>4000</v>
      </c>
      <c r="L25" s="124"/>
      <c r="M25" s="124"/>
      <c r="N25" s="124"/>
    </row>
    <row r="26" spans="2:27" ht="15.75" x14ac:dyDescent="0.25">
      <c r="B26" s="98" t="s">
        <v>10</v>
      </c>
      <c r="C26" s="99" t="s">
        <v>264</v>
      </c>
      <c r="D26" s="127">
        <f t="shared" si="13"/>
        <v>87000</v>
      </c>
      <c r="E26" s="173">
        <f t="shared" si="14"/>
        <v>87000</v>
      </c>
      <c r="F26" s="135">
        <f t="shared" si="15"/>
        <v>870000</v>
      </c>
      <c r="G26" s="134">
        <f t="shared" si="16"/>
        <v>959.0116227799432</v>
      </c>
      <c r="H26" s="116">
        <f>IF(G26&gt;K26,(VLOOKUP(B26,'2025 Regression Curves'!$A$5:$H$17,4,FALSE)*K26)/(VLOOKUP(B26,'2025 Regression Curves'!$A$5:$H$17,5,FALSE)+K26),(VLOOKUP(B26,'2025 Regression Curves'!$A$5:$H$17,4,FALSE)*G26)/(VLOOKUP(B26,'2025 Regression Curves'!$A$5:$H$17,5,FALSE)+G26))</f>
        <v>0.15584006536251113</v>
      </c>
      <c r="I26" s="122">
        <f t="shared" si="12"/>
        <v>0.17648931524633196</v>
      </c>
      <c r="J26" s="124"/>
      <c r="K26" s="115">
        <f>VLOOKUP(B26,'2025 Regression Curves'!$A$5:$H$17,6,FALSE)</f>
        <v>3000</v>
      </c>
      <c r="L26" s="124"/>
      <c r="M26" s="124"/>
      <c r="N26" s="124"/>
    </row>
    <row r="27" spans="2:27" ht="15.75" x14ac:dyDescent="0.25">
      <c r="B27" s="98" t="s">
        <v>11</v>
      </c>
      <c r="C27" s="99" t="s">
        <v>231</v>
      </c>
      <c r="D27" s="127">
        <f t="shared" si="13"/>
        <v>339636.69689304131</v>
      </c>
      <c r="E27" s="173">
        <f t="shared" si="14"/>
        <v>340000</v>
      </c>
      <c r="F27" s="135">
        <f t="shared" si="15"/>
        <v>3396366.968930413</v>
      </c>
      <c r="G27" s="137">
        <f t="shared" si="16"/>
        <v>3743.8567798047729</v>
      </c>
      <c r="H27" s="116">
        <f>IF(G27&gt;K27,(VLOOKUP(B27,'2025 Regression Curves'!$A$5:$H$17,4,FALSE)*K27)/(VLOOKUP(B27,'2025 Regression Curves'!$A$5:$H$17,5,FALSE)+K27),(VLOOKUP(B27,'2025 Regression Curves'!$A$5:$H$17,4,FALSE)*G27)/(VLOOKUP(B27,'2025 Regression Curves'!$A$5:$H$17,5,FALSE)+G27))</f>
        <v>0.13207453314195744</v>
      </c>
      <c r="I27" s="122">
        <f t="shared" si="12"/>
        <v>0.14957478272022359</v>
      </c>
      <c r="J27" s="124"/>
      <c r="K27" s="115">
        <f>VLOOKUP(B27,'2025 Regression Curves'!$A$5:$H$17,6,FALSE)</f>
        <v>2000</v>
      </c>
      <c r="L27" s="124"/>
      <c r="M27" s="124"/>
      <c r="N27" s="124"/>
    </row>
    <row r="28" spans="2:27" ht="15.75" x14ac:dyDescent="0.25">
      <c r="B28" s="98" t="s">
        <v>12</v>
      </c>
      <c r="C28" s="99" t="s">
        <v>232</v>
      </c>
      <c r="D28" s="127">
        <f t="shared" si="13"/>
        <v>90750</v>
      </c>
      <c r="E28" s="173">
        <f t="shared" si="14"/>
        <v>91000</v>
      </c>
      <c r="F28" s="135">
        <f t="shared" si="15"/>
        <v>907500</v>
      </c>
      <c r="G28" s="134">
        <f t="shared" si="16"/>
        <v>1000.348330658389</v>
      </c>
      <c r="H28" s="116">
        <f>IF(G28&gt;K28,(VLOOKUP(B28,'2025 Regression Curves'!$A$5:$H$17,4,FALSE)*K28)/(VLOOKUP(B28,'2025 Regression Curves'!$A$5:$H$17,5,FALSE)+K28),(VLOOKUP(B28,'2025 Regression Curves'!$A$5:$H$17,4,FALSE)*G28)/(VLOOKUP(B28,'2025 Regression Curves'!$A$5:$H$17,5,FALSE)+G28))</f>
        <v>0.14787908104442235</v>
      </c>
      <c r="I28" s="122">
        <f t="shared" si="12"/>
        <v>0.16747347796650322</v>
      </c>
      <c r="J28" s="124"/>
      <c r="K28" s="115">
        <f>VLOOKUP(B28,'2025 Regression Curves'!$A$5:$H$17,6,FALSE)</f>
        <v>2000</v>
      </c>
      <c r="L28" s="124"/>
      <c r="M28" s="124"/>
      <c r="N28" s="124"/>
    </row>
    <row r="29" spans="2:27" ht="15.75" x14ac:dyDescent="0.25">
      <c r="B29" s="98" t="s">
        <v>13</v>
      </c>
      <c r="C29" s="99" t="s">
        <v>233</v>
      </c>
      <c r="D29" s="127">
        <f t="shared" si="13"/>
        <v>79800</v>
      </c>
      <c r="E29" s="173">
        <f t="shared" si="14"/>
        <v>80000</v>
      </c>
      <c r="F29" s="135">
        <f t="shared" si="15"/>
        <v>798000</v>
      </c>
      <c r="G29" s="134">
        <f t="shared" si="16"/>
        <v>879.6451436533273</v>
      </c>
      <c r="H29" s="116">
        <f>IF(G29&gt;K29,(VLOOKUP(B29,'2025 Regression Curves'!$A$5:$H$17,4,FALSE)*K29)/(VLOOKUP(B29,'2025 Regression Curves'!$A$5:$H$17,5,FALSE)+K29),(VLOOKUP(B29,'2025 Regression Curves'!$A$5:$H$17,4,FALSE)*G29)/(VLOOKUP(B29,'2025 Regression Curves'!$A$5:$H$17,5,FALSE)+G29))</f>
        <v>0.1561909736018656</v>
      </c>
      <c r="I29" s="122">
        <f t="shared" si="12"/>
        <v>0.17688671982091234</v>
      </c>
      <c r="J29" s="124"/>
      <c r="K29" s="115">
        <f>VLOOKUP(B29,'2025 Regression Curves'!$A$5:$H$17,6,FALSE)</f>
        <v>2000</v>
      </c>
      <c r="L29" s="124"/>
      <c r="M29" s="124"/>
      <c r="N29" s="124"/>
    </row>
    <row r="30" spans="2:27" ht="15.75" x14ac:dyDescent="0.25">
      <c r="B30" s="98" t="s">
        <v>14</v>
      </c>
      <c r="C30" s="99" t="s">
        <v>234</v>
      </c>
      <c r="D30" s="127">
        <f t="shared" si="13"/>
        <v>79710</v>
      </c>
      <c r="E30" s="173">
        <f t="shared" si="14"/>
        <v>80000</v>
      </c>
      <c r="F30" s="135">
        <f t="shared" si="15"/>
        <v>797100</v>
      </c>
      <c r="G30" s="134">
        <f t="shared" si="16"/>
        <v>878.65306266424454</v>
      </c>
      <c r="H30" s="116">
        <f>IF(G30&gt;K30,(VLOOKUP(B30,'2025 Regression Curves'!$A$5:$H$17,4,FALSE)*K30)/(VLOOKUP(B30,'2025 Regression Curves'!$A$5:$H$17,5,FALSE)+K30),(VLOOKUP(B30,'2025 Regression Curves'!$A$5:$H$17,4,FALSE)*G30)/(VLOOKUP(B30,'2025 Regression Curves'!$A$5:$H$17,5,FALSE)+G30))</f>
        <v>0.16341905539155238</v>
      </c>
      <c r="I30" s="122">
        <f t="shared" si="12"/>
        <v>0.18507254291229036</v>
      </c>
      <c r="J30" s="124"/>
      <c r="K30" s="115">
        <f>VLOOKUP(B30,'2025 Regression Curves'!$A$5:$H$17,6,FALSE)</f>
        <v>2000</v>
      </c>
      <c r="L30" s="124"/>
      <c r="M30" s="124"/>
      <c r="N30" s="124"/>
    </row>
    <row r="31" spans="2:27" ht="15.75" x14ac:dyDescent="0.25">
      <c r="B31" s="98" t="s">
        <v>15</v>
      </c>
      <c r="C31" s="99" t="s">
        <v>235</v>
      </c>
      <c r="D31" s="127">
        <f t="shared" ref="D31:D32" si="17">F31/10</f>
        <v>244500</v>
      </c>
      <c r="E31" s="173">
        <f t="shared" si="14"/>
        <v>245000</v>
      </c>
      <c r="F31" s="135">
        <f t="shared" si="15"/>
        <v>2445000</v>
      </c>
      <c r="G31" s="137">
        <f t="shared" ref="G31:G32" si="18">F31/(2000*0.453592)</f>
        <v>2695.1533536746679</v>
      </c>
      <c r="H31" s="116">
        <f>IF(G31&gt;K31,(VLOOKUP(B31,'2025 Regression Curves'!$A$5:$H$17,4,FALSE)*K31)/(VLOOKUP(B31,'2025 Regression Curves'!$A$5:$H$17,5,FALSE)+K31),(VLOOKUP(B31,'2025 Regression Curves'!$A$5:$H$17,4,FALSE)*G31)/(VLOOKUP(B31,'2025 Regression Curves'!$A$5:$H$17,5,FALSE)+G31))</f>
        <v>0.13793035588843139</v>
      </c>
      <c r="I31" s="122">
        <f t="shared" ref="I31:I32" si="19">H31/0.883</f>
        <v>0.15620651855994494</v>
      </c>
      <c r="J31" s="124"/>
      <c r="K31" s="115">
        <f>VLOOKUP(B31,'2025 Regression Curves'!$A$5:$H$17,6,FALSE)</f>
        <v>2500</v>
      </c>
      <c r="L31" s="124"/>
      <c r="M31" s="124"/>
      <c r="N31" s="124"/>
    </row>
    <row r="32" spans="2:27" ht="15.75" x14ac:dyDescent="0.25">
      <c r="B32" s="98" t="s">
        <v>16</v>
      </c>
      <c r="C32" s="99" t="s">
        <v>236</v>
      </c>
      <c r="D32" s="127">
        <f t="shared" si="17"/>
        <v>275141.92456926889</v>
      </c>
      <c r="E32" s="173">
        <f t="shared" si="14"/>
        <v>275000</v>
      </c>
      <c r="F32" s="135">
        <f t="shared" si="15"/>
        <v>2751419.245692689</v>
      </c>
      <c r="G32" s="137">
        <f t="shared" si="18"/>
        <v>3032.9230296088654</v>
      </c>
      <c r="H32" s="116">
        <f>IF(G32&gt;K32,(VLOOKUP(B32,'2025 Regression Curves'!$A$5:$H$17,4,FALSE)*K32)/(VLOOKUP(B32,'2025 Regression Curves'!$A$5:$H$17,5,FALSE)+K32),(VLOOKUP(B32,'2025 Regression Curves'!$A$5:$H$17,4,FALSE)*G32)/(VLOOKUP(B32,'2025 Regression Curves'!$A$5:$H$17,5,FALSE)+G32))</f>
        <v>0.146411869984412</v>
      </c>
      <c r="I32" s="122">
        <f t="shared" si="19"/>
        <v>0.1658118572869898</v>
      </c>
      <c r="J32" s="124"/>
      <c r="K32" s="115">
        <f>VLOOKUP(B32,'2025 Regression Curves'!$A$5:$H$17,6,FALSE)</f>
        <v>2000</v>
      </c>
      <c r="L32" s="124"/>
      <c r="M32" s="124"/>
      <c r="N32" s="124"/>
    </row>
    <row r="33" spans="2:16" ht="15.75" x14ac:dyDescent="0.25">
      <c r="B33" s="102" t="s">
        <v>251</v>
      </c>
      <c r="C33" s="174" t="s">
        <v>255</v>
      </c>
      <c r="D33" s="127">
        <f>F33/10</f>
        <v>96000</v>
      </c>
      <c r="E33" s="173">
        <f t="shared" si="14"/>
        <v>96000</v>
      </c>
      <c r="F33" s="135">
        <f t="shared" si="15"/>
        <v>960000</v>
      </c>
      <c r="G33" s="166">
        <f t="shared" ref="G33" si="20">F33/(2000*0.453592)</f>
        <v>1058.2197216882132</v>
      </c>
      <c r="H33" s="116">
        <f>IF(G33&gt;K33,(VLOOKUP(B33,'2025 Regression Curves'!$A$5:$H$17,4,FALSE)*K33)/(VLOOKUP(B33,'2025 Regression Curves'!$A$5:$H$17,5,FALSE)+K33),(VLOOKUP(B33,'2025 Regression Curves'!$A$5:$H$17,4,FALSE)*G33)/(VLOOKUP(B33,'2025 Regression Curves'!$A$5:$H$17,5,FALSE)+G33))</f>
        <v>0.15296111555763403</v>
      </c>
      <c r="I33" s="122">
        <f t="shared" ref="I33" si="21">H33/0.883</f>
        <v>0.17322889644126163</v>
      </c>
      <c r="J33" s="124"/>
      <c r="K33" s="115">
        <f>VLOOKUP(B33,'2025 Regression Curves'!$A$5:$H$17,6,FALSE)</f>
        <v>1500</v>
      </c>
      <c r="L33" s="124"/>
      <c r="M33" s="124"/>
      <c r="N33" s="124"/>
    </row>
    <row r="34" spans="2:16" x14ac:dyDescent="0.25">
      <c r="E34" s="171" t="s">
        <v>261</v>
      </c>
      <c r="J34" s="93"/>
      <c r="L34" s="100"/>
      <c r="M34" s="100"/>
      <c r="N34" s="100"/>
    </row>
    <row r="35" spans="2:16" x14ac:dyDescent="0.25">
      <c r="I35" s="100"/>
      <c r="K35" s="100"/>
      <c r="L35" s="100"/>
      <c r="M35" s="100"/>
      <c r="N35" s="100"/>
    </row>
    <row r="37" spans="2:16" ht="26.25" x14ac:dyDescent="0.4">
      <c r="C37" s="94" t="s">
        <v>241</v>
      </c>
      <c r="D37" s="95" t="s">
        <v>215</v>
      </c>
      <c r="E37" s="95"/>
      <c r="F37" s="95" t="s">
        <v>216</v>
      </c>
      <c r="H37" s="93" t="s">
        <v>217</v>
      </c>
      <c r="I37" s="93" t="s">
        <v>217</v>
      </c>
      <c r="L37" s="97"/>
      <c r="M37" s="97"/>
      <c r="N37" s="97"/>
    </row>
    <row r="38" spans="2:16" ht="15.75" thickBot="1" x14ac:dyDescent="0.3">
      <c r="B38" s="117" t="s">
        <v>218</v>
      </c>
      <c r="C38" s="117" t="s">
        <v>219</v>
      </c>
      <c r="D38" s="118" t="s">
        <v>220</v>
      </c>
      <c r="E38" s="167" t="s">
        <v>262</v>
      </c>
      <c r="F38" s="154" t="s">
        <v>242</v>
      </c>
      <c r="G38" s="118" t="s">
        <v>240</v>
      </c>
      <c r="H38" s="117" t="s">
        <v>223</v>
      </c>
      <c r="I38" s="117" t="s">
        <v>224</v>
      </c>
      <c r="K38" s="119" t="s">
        <v>226</v>
      </c>
      <c r="L38" s="97"/>
      <c r="M38" s="97"/>
      <c r="N38" s="97"/>
    </row>
    <row r="39" spans="2:16" ht="15.75" x14ac:dyDescent="0.25">
      <c r="B39" s="98" t="s">
        <v>7</v>
      </c>
      <c r="C39" s="99" t="s">
        <v>227</v>
      </c>
      <c r="D39" s="127">
        <f>F39/65</f>
        <v>33961.538461538461</v>
      </c>
      <c r="E39" s="172">
        <f>ROUND(D39,-2)</f>
        <v>34000</v>
      </c>
      <c r="F39" s="133">
        <f>VLOOKUP(B39,$B$4:$D$15,3,FALSE)*5</f>
        <v>2207500</v>
      </c>
      <c r="G39" s="134">
        <f>F39/(2000*0.453592)</f>
        <v>2433.3542037778443</v>
      </c>
      <c r="H39" s="116">
        <f>IF(G39&gt;K39,(VLOOKUP(B39,'2025 Regression Curves'!$A$5:$H$17,4,FALSE)*K39)/(VLOOKUP(B39,'2025 Regression Curves'!$A$5:$H$17,5,FALSE)+K39),(VLOOKUP(B39,'2025 Regression Curves'!$A$5:$H$17,4,FALSE)*G39)/(VLOOKUP(B39,'2025 Regression Curves'!$A$5:$H$17,5,FALSE)+G39))</f>
        <v>0.18547642863128053</v>
      </c>
      <c r="I39" s="122">
        <f>H39/0.883</f>
        <v>0.21005258055637657</v>
      </c>
      <c r="J39" s="124"/>
      <c r="K39" s="115">
        <f>VLOOKUP(B39,'2025 Regression Curves'!$A$5:$H$17,6,FALSE)</f>
        <v>3000</v>
      </c>
      <c r="L39" s="97"/>
      <c r="M39" s="97"/>
      <c r="N39" s="97"/>
    </row>
    <row r="40" spans="2:16" ht="15.75" x14ac:dyDescent="0.25">
      <c r="B40" s="113" t="s">
        <v>8</v>
      </c>
      <c r="C40" s="114" t="s">
        <v>263</v>
      </c>
      <c r="D40" s="125">
        <f>F40/65</f>
        <v>16807.692307692309</v>
      </c>
      <c r="E40" s="172">
        <f t="shared" ref="E40:E50" si="22">ROUND(D40,-2)</f>
        <v>16800</v>
      </c>
      <c r="F40" s="133">
        <f t="shared" ref="F40:F50" si="23">VLOOKUP(B40,$B$4:$D$15,3,FALSE)*5</f>
        <v>1092500</v>
      </c>
      <c r="G40" s="136">
        <f>F40/(2000*0.453592)</f>
        <v>1204.2760895253884</v>
      </c>
      <c r="H40" s="116">
        <f>IF(G40&gt;K40,(VLOOKUP(B40,'2025 Regression Curves'!$A$5:$H$17,4,FALSE)*K40)/(VLOOKUP(B40,'2025 Regression Curves'!$A$5:$H$17,5,FALSE)+K40),(VLOOKUP(B40,'2025 Regression Curves'!$A$5:$H$17,4,FALSE)*G40)/(VLOOKUP(B40,'2025 Regression Curves'!$A$5:$H$17,5,FALSE)+G40))</f>
        <v>0.20950378106281325</v>
      </c>
      <c r="I40" s="121">
        <f>H40/0.883</f>
        <v>0.23726362521269903</v>
      </c>
      <c r="J40" s="124"/>
      <c r="K40" s="115">
        <f>VLOOKUP(B40,'2025 Regression Curves'!$A$5:$H$17,6,FALSE)</f>
        <v>2000</v>
      </c>
      <c r="L40" s="124"/>
      <c r="M40" s="124"/>
      <c r="N40" s="124"/>
      <c r="P40" s="132"/>
    </row>
    <row r="41" spans="2:16" ht="15.75" x14ac:dyDescent="0.25">
      <c r="B41" s="98" t="s">
        <v>198</v>
      </c>
      <c r="C41" s="99" t="s">
        <v>229</v>
      </c>
      <c r="D41" s="127">
        <f>F41/65</f>
        <v>40642.917003320064</v>
      </c>
      <c r="E41" s="172">
        <f t="shared" si="22"/>
        <v>40600</v>
      </c>
      <c r="F41" s="133">
        <f t="shared" si="23"/>
        <v>2641789.6052158042</v>
      </c>
      <c r="G41" s="137">
        <f>F41/(2000*0.453592)</f>
        <v>2912.0769383232114</v>
      </c>
      <c r="H41" s="116">
        <f>IF(G41&gt;K41,(VLOOKUP(B41,'2025 Regression Curves'!$A$5:$H$17,4,FALSE)*K41)/(VLOOKUP(B41,'2025 Regression Curves'!$A$5:$H$17,5,FALSE)+K41),(VLOOKUP(B41,'2025 Regression Curves'!$A$5:$H$17,4,FALSE)*G41)/(VLOOKUP(B41,'2025 Regression Curves'!$A$5:$H$17,5,FALSE)+G41))</f>
        <v>0.18348951179047535</v>
      </c>
      <c r="I41" s="122">
        <f>H41/0.883</f>
        <v>0.20780239160869235</v>
      </c>
      <c r="K41" s="115">
        <f>VLOOKUP(B41,'2025 Regression Curves'!$A$5:$H$17,6,FALSE)</f>
        <v>2000</v>
      </c>
      <c r="L41" s="124"/>
      <c r="M41" s="124"/>
      <c r="N41" s="124"/>
      <c r="P41" s="132"/>
    </row>
    <row r="42" spans="2:16" ht="15.75" x14ac:dyDescent="0.25">
      <c r="B42" s="98" t="s">
        <v>9</v>
      </c>
      <c r="C42" s="99" t="s">
        <v>230</v>
      </c>
      <c r="D42" s="127">
        <f t="shared" ref="D42:D49" si="24">F42/65</f>
        <v>75692.307692307688</v>
      </c>
      <c r="E42" s="172">
        <f t="shared" si="22"/>
        <v>75700</v>
      </c>
      <c r="F42" s="133">
        <f t="shared" si="23"/>
        <v>4920000</v>
      </c>
      <c r="G42" s="137">
        <f t="shared" ref="G42:G49" si="25">F42/(2000*0.453592)</f>
        <v>5423.3760736520926</v>
      </c>
      <c r="H42" s="116">
        <f>IF(G42&gt;K42,(VLOOKUP(B42,'2025 Regression Curves'!$A$5:$H$17,4,FALSE)*K42)/(VLOOKUP(B42,'2025 Regression Curves'!$A$5:$H$17,5,FALSE)+K42),(VLOOKUP(B42,'2025 Regression Curves'!$A$5:$H$17,4,FALSE)*G42)/(VLOOKUP(B42,'2025 Regression Curves'!$A$5:$H$17,5,FALSE)+G42))</f>
        <v>0.17400567273115428</v>
      </c>
      <c r="I42" s="122">
        <f t="shared" ref="I42:I49" si="26">H42/0.883</f>
        <v>0.19706191702282477</v>
      </c>
      <c r="J42" s="124"/>
      <c r="K42" s="115">
        <f>VLOOKUP(B42,'2025 Regression Curves'!$A$5:$H$17,6,FALSE)</f>
        <v>4000</v>
      </c>
      <c r="L42" s="124"/>
      <c r="M42" s="124"/>
      <c r="N42" s="124"/>
    </row>
    <row r="43" spans="2:16" ht="15.75" x14ac:dyDescent="0.25">
      <c r="B43" s="98" t="s">
        <v>10</v>
      </c>
      <c r="C43" s="99" t="s">
        <v>264</v>
      </c>
      <c r="D43" s="127">
        <f>F43/65</f>
        <v>22307.692307692309</v>
      </c>
      <c r="E43" s="172">
        <f t="shared" si="22"/>
        <v>22300</v>
      </c>
      <c r="F43" s="133">
        <f t="shared" si="23"/>
        <v>1450000</v>
      </c>
      <c r="G43" s="134">
        <f>F43/(2000*0.453592)</f>
        <v>1598.3527046332388</v>
      </c>
      <c r="H43" s="116">
        <f>IF(G43&gt;K43,(VLOOKUP(B43,'2025 Regression Curves'!$A$5:$H$17,4,FALSE)*K43)/(VLOOKUP(B43,'2025 Regression Curves'!$A$5:$H$17,5,FALSE)+K43),(VLOOKUP(B43,'2025 Regression Curves'!$A$5:$H$17,4,FALSE)*G43)/(VLOOKUP(B43,'2025 Regression Curves'!$A$5:$H$17,5,FALSE)+G43))</f>
        <v>0.17293653240454065</v>
      </c>
      <c r="I43" s="122">
        <f>H43/0.883</f>
        <v>0.19585111257592372</v>
      </c>
      <c r="J43" s="124"/>
      <c r="K43" s="115">
        <f>VLOOKUP(B43,'2025 Regression Curves'!$A$5:$H$17,6,FALSE)</f>
        <v>3000</v>
      </c>
      <c r="L43" s="124"/>
      <c r="M43" s="124"/>
      <c r="N43" s="124"/>
    </row>
    <row r="44" spans="2:16" ht="15.75" x14ac:dyDescent="0.25">
      <c r="B44" s="98" t="s">
        <v>11</v>
      </c>
      <c r="C44" s="99" t="s">
        <v>231</v>
      </c>
      <c r="D44" s="127">
        <f>F44/65</f>
        <v>87086.332536677262</v>
      </c>
      <c r="E44" s="172">
        <f t="shared" si="22"/>
        <v>87100</v>
      </c>
      <c r="F44" s="133">
        <f t="shared" si="23"/>
        <v>5660611.6148840217</v>
      </c>
      <c r="G44" s="137">
        <f>F44/(2000*0.453592)</f>
        <v>6239.7612996746211</v>
      </c>
      <c r="H44" s="116">
        <f>IF(G44&gt;K44,(VLOOKUP(B44,'2025 Regression Curves'!$A$5:$H$17,4,FALSE)*K44)/(VLOOKUP(B44,'2025 Regression Curves'!$A$5:$H$17,5,FALSE)+K44),(VLOOKUP(B44,'2025 Regression Curves'!$A$5:$H$17,4,FALSE)*G44)/(VLOOKUP(B44,'2025 Regression Curves'!$A$5:$H$17,5,FALSE)+G44))</f>
        <v>0.13207453314195744</v>
      </c>
      <c r="I44" s="122">
        <f>H44/0.883</f>
        <v>0.14957478272022359</v>
      </c>
      <c r="J44" s="124"/>
      <c r="K44" s="115">
        <f>VLOOKUP(B44,'2025 Regression Curves'!$A$5:$H$17,6,FALSE)</f>
        <v>2000</v>
      </c>
      <c r="L44" s="124"/>
      <c r="M44" s="124"/>
      <c r="N44" s="124"/>
    </row>
    <row r="45" spans="2:16" ht="15.75" x14ac:dyDescent="0.25">
      <c r="B45" s="98" t="s">
        <v>12</v>
      </c>
      <c r="C45" s="99" t="s">
        <v>232</v>
      </c>
      <c r="D45" s="127">
        <f t="shared" si="24"/>
        <v>23269.23076923077</v>
      </c>
      <c r="E45" s="172">
        <f t="shared" si="22"/>
        <v>23300</v>
      </c>
      <c r="F45" s="133">
        <f t="shared" si="23"/>
        <v>1512500</v>
      </c>
      <c r="G45" s="134">
        <f t="shared" si="25"/>
        <v>1667.2472177639818</v>
      </c>
      <c r="H45" s="116">
        <f>IF(G45&gt;K45,(VLOOKUP(B45,'2025 Regression Curves'!$A$5:$H$17,4,FALSE)*K45)/(VLOOKUP(B45,'2025 Regression Curves'!$A$5:$H$17,5,FALSE)+K45),(VLOOKUP(B45,'2025 Regression Curves'!$A$5:$H$17,4,FALSE)*G45)/(VLOOKUP(B45,'2025 Regression Curves'!$A$5:$H$17,5,FALSE)+G45))</f>
        <v>0.15955799227265982</v>
      </c>
      <c r="I45" s="122">
        <f t="shared" si="26"/>
        <v>0.18069987799848225</v>
      </c>
      <c r="J45" s="124"/>
      <c r="K45" s="115">
        <f>VLOOKUP(B45,'2025 Regression Curves'!$A$5:$H$17,6,FALSE)</f>
        <v>2000</v>
      </c>
      <c r="L45" s="124"/>
      <c r="M45" s="124"/>
      <c r="N45" s="124"/>
    </row>
    <row r="46" spans="2:16" ht="15.75" x14ac:dyDescent="0.25">
      <c r="B46" s="98" t="s">
        <v>13</v>
      </c>
      <c r="C46" s="99" t="s">
        <v>233</v>
      </c>
      <c r="D46" s="127">
        <f t="shared" si="24"/>
        <v>20461.538461538461</v>
      </c>
      <c r="E46" s="172">
        <f t="shared" si="22"/>
        <v>20500</v>
      </c>
      <c r="F46" s="133">
        <f t="shared" si="23"/>
        <v>1330000</v>
      </c>
      <c r="G46" s="166">
        <f t="shared" si="25"/>
        <v>1466.075239422212</v>
      </c>
      <c r="H46" s="116">
        <f>IF(G46&gt;K46,(VLOOKUP(B46,'2025 Regression Curves'!$A$5:$H$17,4,FALSE)*K46)/(VLOOKUP(B46,'2025 Regression Curves'!$A$5:$H$17,5,FALSE)+K46),(VLOOKUP(B46,'2025 Regression Curves'!$A$5:$H$17,4,FALSE)*G46)/(VLOOKUP(B46,'2025 Regression Curves'!$A$5:$H$17,5,FALSE)+G46))</f>
        <v>0.17347473755877313</v>
      </c>
      <c r="I46" s="122">
        <f t="shared" si="26"/>
        <v>0.19646063143688916</v>
      </c>
      <c r="J46" s="124"/>
      <c r="K46" s="115">
        <f>VLOOKUP(B46,'2025 Regression Curves'!$A$5:$H$17,6,FALSE)</f>
        <v>2000</v>
      </c>
      <c r="L46" s="124"/>
      <c r="M46" s="124"/>
      <c r="N46" s="124"/>
    </row>
    <row r="47" spans="2:16" ht="15.75" x14ac:dyDescent="0.25">
      <c r="B47" s="98" t="s">
        <v>14</v>
      </c>
      <c r="C47" s="99" t="s">
        <v>234</v>
      </c>
      <c r="D47" s="127">
        <f t="shared" si="24"/>
        <v>20438.461538461539</v>
      </c>
      <c r="E47" s="172">
        <f t="shared" si="22"/>
        <v>20400</v>
      </c>
      <c r="F47" s="133">
        <f t="shared" si="23"/>
        <v>1328500</v>
      </c>
      <c r="G47" s="134">
        <f t="shared" si="25"/>
        <v>1464.4217711070742</v>
      </c>
      <c r="H47" s="116">
        <f>IF(G47&gt;K47,(VLOOKUP(B47,'2025 Regression Curves'!$A$5:$H$17,4,FALSE)*K47)/(VLOOKUP(B47,'2025 Regression Curves'!$A$5:$H$17,5,FALSE)+K47),(VLOOKUP(B47,'2025 Regression Curves'!$A$5:$H$17,4,FALSE)*G47)/(VLOOKUP(B47,'2025 Regression Curves'!$A$5:$H$17,5,FALSE)+G47))</f>
        <v>0.18634265915864465</v>
      </c>
      <c r="I47" s="122">
        <f t="shared" si="26"/>
        <v>0.21103358908113776</v>
      </c>
      <c r="J47" s="124"/>
      <c r="K47" s="115">
        <f>VLOOKUP(B47,'2025 Regression Curves'!$A$5:$H$17,6,FALSE)</f>
        <v>2000</v>
      </c>
      <c r="L47" s="124"/>
      <c r="M47" s="124"/>
      <c r="N47" s="124"/>
    </row>
    <row r="48" spans="2:16" ht="15.75" x14ac:dyDescent="0.25">
      <c r="B48" s="98" t="s">
        <v>15</v>
      </c>
      <c r="C48" s="99" t="s">
        <v>235</v>
      </c>
      <c r="D48" s="127">
        <f t="shared" si="24"/>
        <v>62692.307692307695</v>
      </c>
      <c r="E48" s="172">
        <f t="shared" si="22"/>
        <v>62700</v>
      </c>
      <c r="F48" s="133">
        <f t="shared" si="23"/>
        <v>4075000</v>
      </c>
      <c r="G48" s="137">
        <f t="shared" si="25"/>
        <v>4491.9222561244469</v>
      </c>
      <c r="H48" s="116">
        <f>IF(G48&gt;K48,(VLOOKUP(B48,'2025 Regression Curves'!$A$5:$H$17,4,FALSE)*K48)/(VLOOKUP(B48,'2025 Regression Curves'!$A$5:$H$17,5,FALSE)+K48),(VLOOKUP(B48,'2025 Regression Curves'!$A$5:$H$17,4,FALSE)*G48)/(VLOOKUP(B48,'2025 Regression Curves'!$A$5:$H$17,5,FALSE)+G48))</f>
        <v>0.13793035588843139</v>
      </c>
      <c r="I48" s="122">
        <f t="shared" si="26"/>
        <v>0.15620651855994494</v>
      </c>
      <c r="J48" s="124"/>
      <c r="K48" s="115">
        <f>VLOOKUP(B48,'2025 Regression Curves'!$A$5:$H$17,6,FALSE)</f>
        <v>2500</v>
      </c>
      <c r="L48" s="124"/>
      <c r="M48" s="124"/>
      <c r="N48" s="124"/>
    </row>
    <row r="49" spans="2:17" ht="15.75" x14ac:dyDescent="0.25">
      <c r="B49" s="98" t="s">
        <v>16</v>
      </c>
      <c r="C49" s="99" t="s">
        <v>236</v>
      </c>
      <c r="D49" s="127">
        <f t="shared" si="24"/>
        <v>70549.211428017661</v>
      </c>
      <c r="E49" s="172">
        <f t="shared" si="22"/>
        <v>70500</v>
      </c>
      <c r="F49" s="133">
        <f t="shared" si="23"/>
        <v>4585698.7428211477</v>
      </c>
      <c r="G49" s="137">
        <f t="shared" si="25"/>
        <v>5054.8717160147753</v>
      </c>
      <c r="H49" s="116">
        <f>IF(G49&gt;K49,(VLOOKUP(B49,'2025 Regression Curves'!$A$5:$H$17,4,FALSE)*K49)/(VLOOKUP(B49,'2025 Regression Curves'!$A$5:$H$17,5,FALSE)+K49),(VLOOKUP(B49,'2025 Regression Curves'!$A$5:$H$17,4,FALSE)*G49)/(VLOOKUP(B49,'2025 Regression Curves'!$A$5:$H$17,5,FALSE)+G49))</f>
        <v>0.146411869984412</v>
      </c>
      <c r="I49" s="122">
        <f t="shared" si="26"/>
        <v>0.1658118572869898</v>
      </c>
      <c r="J49" s="124"/>
      <c r="K49" s="115">
        <f>VLOOKUP(B49,'2025 Regression Curves'!$A$5:$H$17,6,FALSE)</f>
        <v>2000</v>
      </c>
      <c r="L49" s="124"/>
      <c r="M49" s="124"/>
      <c r="N49" s="124"/>
      <c r="O49" s="96"/>
    </row>
    <row r="50" spans="2:17" ht="15.75" x14ac:dyDescent="0.25">
      <c r="B50" s="102" t="s">
        <v>251</v>
      </c>
      <c r="C50" s="174" t="s">
        <v>255</v>
      </c>
      <c r="D50" s="127">
        <f t="shared" ref="D50" si="27">F50/65</f>
        <v>24615.384615384617</v>
      </c>
      <c r="E50" s="172">
        <f t="shared" si="22"/>
        <v>24600</v>
      </c>
      <c r="F50" s="133">
        <f t="shared" si="23"/>
        <v>1600000</v>
      </c>
      <c r="G50" s="137">
        <f t="shared" ref="G50" si="28">F50/(2000*0.453592)</f>
        <v>1763.6995361470219</v>
      </c>
      <c r="H50" s="116">
        <f>IF(G50&gt;K50,(VLOOKUP(B50,'2025 Regression Curves'!$A$5:$H$17,4,FALSE)*K50)/(VLOOKUP(B50,'2025 Regression Curves'!$A$5:$H$17,5,FALSE)+K50),(VLOOKUP(B50,'2025 Regression Curves'!$A$5:$H$17,4,FALSE)*G50)/(VLOOKUP(B50,'2025 Regression Curves'!$A$5:$H$17,5,FALSE)+G50))</f>
        <v>0.16374175680775055</v>
      </c>
      <c r="I50" s="122">
        <f t="shared" ref="I50" si="29">H50/0.883</f>
        <v>0.18543800317978545</v>
      </c>
      <c r="J50" s="124"/>
      <c r="K50" s="115">
        <f>VLOOKUP(B50,'2025 Regression Curves'!$A$5:$H$17,6,FALSE)</f>
        <v>1500</v>
      </c>
      <c r="L50" s="124"/>
      <c r="M50" s="124"/>
      <c r="N50" s="124"/>
      <c r="O50" s="96"/>
    </row>
    <row r="51" spans="2:17" x14ac:dyDescent="0.25">
      <c r="E51" s="171" t="s">
        <v>261</v>
      </c>
      <c r="J51" s="93"/>
      <c r="L51" s="97"/>
      <c r="M51" s="97"/>
      <c r="N51" s="97"/>
    </row>
    <row r="52" spans="2:17" x14ac:dyDescent="0.25">
      <c r="L52" s="97"/>
      <c r="M52" s="97"/>
      <c r="N52" s="97"/>
    </row>
    <row r="54" spans="2:17" ht="26.25" x14ac:dyDescent="0.4">
      <c r="C54" s="94" t="s">
        <v>243</v>
      </c>
      <c r="D54" s="95" t="s">
        <v>215</v>
      </c>
      <c r="E54" s="95"/>
      <c r="F54" s="95" t="s">
        <v>216</v>
      </c>
      <c r="H54" s="93" t="s">
        <v>217</v>
      </c>
      <c r="I54" s="93" t="s">
        <v>217</v>
      </c>
      <c r="L54" s="96"/>
      <c r="M54" s="96"/>
      <c r="N54" s="96"/>
      <c r="O54" s="96"/>
      <c r="P54" s="96"/>
      <c r="Q54" s="96"/>
    </row>
    <row r="55" spans="2:17" ht="15.75" thickBot="1" x14ac:dyDescent="0.3">
      <c r="B55" s="117" t="s">
        <v>218</v>
      </c>
      <c r="C55" s="117" t="s">
        <v>219</v>
      </c>
      <c r="D55" s="118" t="s">
        <v>220</v>
      </c>
      <c r="E55" s="167" t="s">
        <v>262</v>
      </c>
      <c r="F55" s="154" t="s">
        <v>244</v>
      </c>
      <c r="G55" s="118" t="s">
        <v>240</v>
      </c>
      <c r="H55" s="117" t="s">
        <v>223</v>
      </c>
      <c r="I55" s="117" t="s">
        <v>224</v>
      </c>
      <c r="K55" s="119" t="s">
        <v>226</v>
      </c>
      <c r="L55" s="97"/>
      <c r="M55" s="97"/>
      <c r="N55" s="97"/>
      <c r="O55" s="97"/>
      <c r="P55" s="96"/>
      <c r="Q55" s="96"/>
    </row>
    <row r="56" spans="2:17" ht="15.75" x14ac:dyDescent="0.25">
      <c r="B56" s="98" t="s">
        <v>7</v>
      </c>
      <c r="C56" s="99" t="s">
        <v>227</v>
      </c>
      <c r="D56" s="127">
        <f>F56/75</f>
        <v>17660</v>
      </c>
      <c r="E56" s="172">
        <f>ROUND(D56,-2)</f>
        <v>17700</v>
      </c>
      <c r="F56" s="133">
        <f>VLOOKUP(B56,$B$4:$D$15,3,FALSE)*3</f>
        <v>1324500</v>
      </c>
      <c r="G56" s="134">
        <f>F56/(2000*0.453592)</f>
        <v>1460.0125222667066</v>
      </c>
      <c r="H56" s="116">
        <f>IF(G56&gt;K56,(VLOOKUP(B56,'2025 Regression Curves'!$A$5:$H$17,4,FALSE)*K56)/(VLOOKUP(B56,'2025 Regression Curves'!$A$5:$H$17,5,FALSE)+K56),(VLOOKUP(B56,'2025 Regression Curves'!$A$5:$H$17,4,FALSE)*G56)/(VLOOKUP(B56,'2025 Regression Curves'!$A$5:$H$17,5,FALSE)+G56))</f>
        <v>0.16294965082172025</v>
      </c>
      <c r="I56" s="122">
        <f>H56/0.883</f>
        <v>0.18454094090795045</v>
      </c>
      <c r="K56" s="115">
        <f>VLOOKUP(B56,'2025 Regression Curves'!$A$5:$H$17,6,FALSE)</f>
        <v>3000</v>
      </c>
      <c r="L56" s="97"/>
      <c r="M56" s="97"/>
      <c r="N56" s="97"/>
      <c r="O56" s="97"/>
      <c r="P56" s="96"/>
      <c r="Q56" s="96"/>
    </row>
    <row r="57" spans="2:17" ht="15.75" x14ac:dyDescent="0.25">
      <c r="B57" s="113" t="s">
        <v>8</v>
      </c>
      <c r="C57" s="114" t="s">
        <v>263</v>
      </c>
      <c r="D57" s="125">
        <f>F57/75</f>
        <v>8740</v>
      </c>
      <c r="E57" s="172">
        <f t="shared" ref="E57:E67" si="30">ROUND(D57,-2)</f>
        <v>8700</v>
      </c>
      <c r="F57" s="133">
        <f t="shared" ref="F57:F67" si="31">VLOOKUP(B57,$B$4:$D$15,3,FALSE)*3</f>
        <v>655500</v>
      </c>
      <c r="G57" s="136">
        <f>F57/(2000*0.453592)</f>
        <v>722.56565371523311</v>
      </c>
      <c r="H57" s="116">
        <f>IF(G57&gt;K57,(VLOOKUP(B57,'2025 Regression Curves'!$A$5:$H$17,4,FALSE)*K57)/(VLOOKUP(B57,'2025 Regression Curves'!$A$5:$H$17,5,FALSE)+K57),(VLOOKUP(B57,'2025 Regression Curves'!$A$5:$H$17,4,FALSE)*G57)/(VLOOKUP(B57,'2025 Regression Curves'!$A$5:$H$17,5,FALSE)+G57))</f>
        <v>0.17557971022387872</v>
      </c>
      <c r="I57" s="121">
        <f>H57/0.883</f>
        <v>0.19884451893984001</v>
      </c>
      <c r="J57" s="124"/>
      <c r="K57" s="115">
        <f>VLOOKUP(B57,'2025 Regression Curves'!$A$5:$H$17,6,FALSE)</f>
        <v>2000</v>
      </c>
      <c r="L57" s="124"/>
      <c r="M57" s="124"/>
      <c r="N57" s="124"/>
      <c r="O57" s="97"/>
      <c r="P57" s="96"/>
      <c r="Q57" s="96"/>
    </row>
    <row r="58" spans="2:17" ht="15.75" x14ac:dyDescent="0.25">
      <c r="B58" s="98" t="s">
        <v>198</v>
      </c>
      <c r="C58" s="99" t="s">
        <v>229</v>
      </c>
      <c r="D58" s="127">
        <f>F58/75</f>
        <v>21134.316841726435</v>
      </c>
      <c r="E58" s="172">
        <f t="shared" si="30"/>
        <v>21100</v>
      </c>
      <c r="F58" s="133">
        <f t="shared" si="31"/>
        <v>1585073.7631294825</v>
      </c>
      <c r="G58" s="134">
        <f>F58/(2000*0.453592)</f>
        <v>1747.2461629939269</v>
      </c>
      <c r="H58" s="116">
        <f>IF(G58&gt;K58,(VLOOKUP(B58,'2025 Regression Curves'!$A$5:$H$17,4,FALSE)*K58)/(VLOOKUP(B58,'2025 Regression Curves'!$A$5:$H$17,5,FALSE)+K58),(VLOOKUP(B58,'2025 Regression Curves'!$A$5:$H$17,4,FALSE)*G58)/(VLOOKUP(B58,'2025 Regression Curves'!$A$5:$H$17,5,FALSE)+G58))</f>
        <v>0.17433779445128664</v>
      </c>
      <c r="I58" s="122">
        <f>H58/0.883</f>
        <v>0.19743804581119664</v>
      </c>
      <c r="K58" s="115">
        <f>VLOOKUP(B58,'2025 Regression Curves'!$A$5:$H$17,6,FALSE)</f>
        <v>2000</v>
      </c>
      <c r="L58" s="124"/>
      <c r="M58" s="124"/>
      <c r="N58" s="124"/>
      <c r="O58" s="97"/>
      <c r="P58" s="96"/>
      <c r="Q58" s="96"/>
    </row>
    <row r="59" spans="2:17" ht="15.75" x14ac:dyDescent="0.25">
      <c r="B59" s="98" t="s">
        <v>9</v>
      </c>
      <c r="C59" s="99" t="s">
        <v>230</v>
      </c>
      <c r="D59" s="127">
        <f t="shared" ref="D59:D65" si="32">F59/75</f>
        <v>39360</v>
      </c>
      <c r="E59" s="172">
        <f t="shared" si="30"/>
        <v>39400</v>
      </c>
      <c r="F59" s="133">
        <f t="shared" si="31"/>
        <v>2952000</v>
      </c>
      <c r="G59" s="134">
        <f t="shared" ref="G59:G65" si="33">F59/(2000*0.453592)</f>
        <v>3254.0256441912557</v>
      </c>
      <c r="H59" s="116">
        <f>IF(G59&gt;K59,(VLOOKUP(B59,'2025 Regression Curves'!$A$5:$H$17,4,FALSE)*K59)/(VLOOKUP(B59,'2025 Regression Curves'!$A$5:$H$17,5,FALSE)+K59),(VLOOKUP(B59,'2025 Regression Curves'!$A$5:$H$17,4,FALSE)*G59)/(VLOOKUP(B59,'2025 Regression Curves'!$A$5:$H$17,5,FALSE)+G59))</f>
        <v>0.16390260413626145</v>
      </c>
      <c r="I59" s="122">
        <f t="shared" ref="I59:I66" si="34">H59/0.883</f>
        <v>0.18562016323472419</v>
      </c>
      <c r="J59" s="124"/>
      <c r="K59" s="115">
        <f>VLOOKUP(B59,'2025 Regression Curves'!$A$5:$H$17,6,FALSE)</f>
        <v>4000</v>
      </c>
      <c r="L59" s="124"/>
      <c r="M59" s="124"/>
      <c r="N59" s="124"/>
      <c r="O59" s="97"/>
      <c r="P59" s="96"/>
      <c r="Q59" s="96"/>
    </row>
    <row r="60" spans="2:17" ht="15.75" x14ac:dyDescent="0.25">
      <c r="B60" s="98" t="s">
        <v>10</v>
      </c>
      <c r="C60" s="99" t="s">
        <v>264</v>
      </c>
      <c r="D60" s="127">
        <f>F60/75</f>
        <v>11600</v>
      </c>
      <c r="E60" s="172">
        <f t="shared" si="30"/>
        <v>11600</v>
      </c>
      <c r="F60" s="133">
        <f t="shared" si="31"/>
        <v>870000</v>
      </c>
      <c r="G60" s="134">
        <f>F60/(2000*0.453592)</f>
        <v>959.0116227799432</v>
      </c>
      <c r="H60" s="116">
        <f>IF(G60&gt;K60,(VLOOKUP(B60,'2025 Regression Curves'!$A$5:$H$17,4,FALSE)*K60)/(VLOOKUP(B60,'2025 Regression Curves'!$A$5:$H$17,5,FALSE)+K60),(VLOOKUP(B60,'2025 Regression Curves'!$A$5:$H$17,4,FALSE)*G60)/(VLOOKUP(B60,'2025 Regression Curves'!$A$5:$H$17,5,FALSE)+G60))</f>
        <v>0.15584006536251113</v>
      </c>
      <c r="I60" s="122">
        <f>H60/0.883</f>
        <v>0.17648931524633196</v>
      </c>
      <c r="J60" s="124"/>
      <c r="K60" s="115">
        <f>VLOOKUP(B60,'2025 Regression Curves'!$A$5:$H$17,6,FALSE)</f>
        <v>3000</v>
      </c>
      <c r="L60" s="124"/>
      <c r="M60" s="124"/>
      <c r="N60" s="124"/>
      <c r="O60" s="97"/>
      <c r="P60" s="96"/>
      <c r="Q60" s="96"/>
    </row>
    <row r="61" spans="2:17" ht="15.75" x14ac:dyDescent="0.25">
      <c r="B61" s="98" t="s">
        <v>11</v>
      </c>
      <c r="C61" s="99" t="s">
        <v>231</v>
      </c>
      <c r="D61" s="127">
        <f>F61/75</f>
        <v>45284.892919072176</v>
      </c>
      <c r="E61" s="172">
        <f t="shared" si="30"/>
        <v>45300</v>
      </c>
      <c r="F61" s="133">
        <f t="shared" si="31"/>
        <v>3396366.968930413</v>
      </c>
      <c r="G61" s="137">
        <f>F61/(2000*0.453592)</f>
        <v>3743.8567798047729</v>
      </c>
      <c r="H61" s="116">
        <f>IF(G61&gt;K61,(VLOOKUP(B61,'2025 Regression Curves'!$A$5:$H$17,4,FALSE)*K61)/(VLOOKUP(B61,'2025 Regression Curves'!$A$5:$H$17,5,FALSE)+K61),(VLOOKUP(B61,'2025 Regression Curves'!$A$5:$H$17,4,FALSE)*G61)/(VLOOKUP(B61,'2025 Regression Curves'!$A$5:$H$17,5,FALSE)+G61))</f>
        <v>0.13207453314195744</v>
      </c>
      <c r="I61" s="122">
        <f>H61/0.883</f>
        <v>0.14957478272022359</v>
      </c>
      <c r="K61" s="115">
        <f>VLOOKUP(B61,'2025 Regression Curves'!$A$5:$H$17,6,FALSE)</f>
        <v>2000</v>
      </c>
      <c r="L61" s="124"/>
      <c r="M61" s="124"/>
      <c r="N61" s="124"/>
      <c r="O61" s="97"/>
      <c r="P61" s="96"/>
      <c r="Q61" s="96"/>
    </row>
    <row r="62" spans="2:17" ht="15.75" x14ac:dyDescent="0.25">
      <c r="B62" s="98" t="s">
        <v>12</v>
      </c>
      <c r="C62" s="99" t="s">
        <v>232</v>
      </c>
      <c r="D62" s="127">
        <f t="shared" si="32"/>
        <v>12100</v>
      </c>
      <c r="E62" s="172">
        <f t="shared" si="30"/>
        <v>12100</v>
      </c>
      <c r="F62" s="133">
        <f t="shared" si="31"/>
        <v>907500</v>
      </c>
      <c r="G62" s="134">
        <f t="shared" si="33"/>
        <v>1000.348330658389</v>
      </c>
      <c r="H62" s="116">
        <f>IF(G62&gt;K62,(VLOOKUP(B62,'2025 Regression Curves'!$A$5:$H$17,4,FALSE)*K62)/(VLOOKUP(B62,'2025 Regression Curves'!$A$5:$H$17,5,FALSE)+K62),(VLOOKUP(B62,'2025 Regression Curves'!$A$5:$H$17,4,FALSE)*G62)/(VLOOKUP(B62,'2025 Regression Curves'!$A$5:$H$17,5,FALSE)+G62))</f>
        <v>0.14787908104442235</v>
      </c>
      <c r="I62" s="122">
        <f t="shared" si="34"/>
        <v>0.16747347796650322</v>
      </c>
      <c r="J62" s="124"/>
      <c r="K62" s="115">
        <f>VLOOKUP(B62,'2025 Regression Curves'!$A$5:$H$17,6,FALSE)</f>
        <v>2000</v>
      </c>
      <c r="L62" s="124"/>
      <c r="M62" s="124"/>
      <c r="N62" s="124"/>
      <c r="O62" s="97"/>
      <c r="P62" s="96"/>
      <c r="Q62" s="96"/>
    </row>
    <row r="63" spans="2:17" ht="15.75" x14ac:dyDescent="0.25">
      <c r="B63" s="98" t="s">
        <v>13</v>
      </c>
      <c r="C63" s="99" t="s">
        <v>233</v>
      </c>
      <c r="D63" s="127">
        <f t="shared" si="32"/>
        <v>10640</v>
      </c>
      <c r="E63" s="172">
        <f t="shared" si="30"/>
        <v>10600</v>
      </c>
      <c r="F63" s="133">
        <f t="shared" si="31"/>
        <v>798000</v>
      </c>
      <c r="G63" s="134">
        <f t="shared" si="33"/>
        <v>879.6451436533273</v>
      </c>
      <c r="H63" s="116">
        <f>IF(G63&gt;K63,(VLOOKUP(B63,'2025 Regression Curves'!$A$5:$H$17,4,FALSE)*K63)/(VLOOKUP(B63,'2025 Regression Curves'!$A$5:$H$17,5,FALSE)+K63),(VLOOKUP(B63,'2025 Regression Curves'!$A$5:$H$17,4,FALSE)*G63)/(VLOOKUP(B63,'2025 Regression Curves'!$A$5:$H$17,5,FALSE)+G63))</f>
        <v>0.1561909736018656</v>
      </c>
      <c r="I63" s="122">
        <f t="shared" si="34"/>
        <v>0.17688671982091234</v>
      </c>
      <c r="J63" s="124"/>
      <c r="K63" s="115">
        <f>VLOOKUP(B63,'2025 Regression Curves'!$A$5:$H$17,6,FALSE)</f>
        <v>2000</v>
      </c>
      <c r="L63" s="124"/>
      <c r="M63" s="124"/>
      <c r="N63" s="124"/>
      <c r="O63" s="97"/>
      <c r="P63" s="96"/>
      <c r="Q63" s="96"/>
    </row>
    <row r="64" spans="2:17" ht="15.75" x14ac:dyDescent="0.25">
      <c r="B64" s="98" t="s">
        <v>14</v>
      </c>
      <c r="C64" s="99" t="s">
        <v>234</v>
      </c>
      <c r="D64" s="127">
        <f t="shared" si="32"/>
        <v>10628</v>
      </c>
      <c r="E64" s="172">
        <f t="shared" si="30"/>
        <v>10600</v>
      </c>
      <c r="F64" s="133">
        <f t="shared" si="31"/>
        <v>797100</v>
      </c>
      <c r="G64" s="134">
        <f t="shared" si="33"/>
        <v>878.65306266424454</v>
      </c>
      <c r="H64" s="116">
        <f>IF(G64&gt;K64,(VLOOKUP(B64,'2025 Regression Curves'!$A$5:$H$17,4,FALSE)*K64)/(VLOOKUP(B64,'2025 Regression Curves'!$A$5:$H$17,5,FALSE)+K64),(VLOOKUP(B64,'2025 Regression Curves'!$A$5:$H$17,4,FALSE)*G64)/(VLOOKUP(B64,'2025 Regression Curves'!$A$5:$H$17,5,FALSE)+G64))</f>
        <v>0.16341905539155238</v>
      </c>
      <c r="I64" s="122">
        <f t="shared" si="34"/>
        <v>0.18507254291229036</v>
      </c>
      <c r="J64" s="124"/>
      <c r="K64" s="115">
        <f>VLOOKUP(B64,'2025 Regression Curves'!$A$5:$H$17,6,FALSE)</f>
        <v>2000</v>
      </c>
      <c r="L64" s="124"/>
      <c r="M64" s="124"/>
      <c r="N64" s="124"/>
      <c r="O64" s="97"/>
      <c r="P64" s="96"/>
      <c r="Q64" s="96"/>
    </row>
    <row r="65" spans="2:18" ht="15.75" x14ac:dyDescent="0.25">
      <c r="B65" s="98" t="s">
        <v>15</v>
      </c>
      <c r="C65" s="99" t="s">
        <v>235</v>
      </c>
      <c r="D65" s="127">
        <f t="shared" si="32"/>
        <v>32600</v>
      </c>
      <c r="E65" s="172">
        <f t="shared" si="30"/>
        <v>32600</v>
      </c>
      <c r="F65" s="133">
        <f t="shared" si="31"/>
        <v>2445000</v>
      </c>
      <c r="G65" s="137">
        <f t="shared" si="33"/>
        <v>2695.1533536746679</v>
      </c>
      <c r="H65" s="116">
        <f>IF(G65&gt;K65,(VLOOKUP(B65,'2025 Regression Curves'!$A$5:$H$17,4,FALSE)*K65)/(VLOOKUP(B65,'2025 Regression Curves'!$A$5:$H$17,5,FALSE)+K65),(VLOOKUP(B65,'2025 Regression Curves'!$A$5:$H$17,4,FALSE)*G65)/(VLOOKUP(B65,'2025 Regression Curves'!$A$5:$H$17,5,FALSE)+G65))</f>
        <v>0.13793035588843139</v>
      </c>
      <c r="I65" s="122">
        <f t="shared" si="34"/>
        <v>0.15620651855994494</v>
      </c>
      <c r="J65" s="124"/>
      <c r="K65" s="115">
        <f>VLOOKUP(B65,'2025 Regression Curves'!$A$5:$H$17,6,FALSE)</f>
        <v>2500</v>
      </c>
      <c r="L65" s="124"/>
      <c r="M65" s="124"/>
      <c r="N65" s="124"/>
      <c r="O65" s="97"/>
      <c r="P65" s="96"/>
      <c r="Q65" s="96"/>
    </row>
    <row r="66" spans="2:18" ht="15.75" x14ac:dyDescent="0.25">
      <c r="B66" s="98" t="s">
        <v>16</v>
      </c>
      <c r="C66" s="99" t="s">
        <v>236</v>
      </c>
      <c r="D66" s="127">
        <f>F66/75</f>
        <v>36685.58994256919</v>
      </c>
      <c r="E66" s="172">
        <f t="shared" si="30"/>
        <v>36700</v>
      </c>
      <c r="F66" s="133">
        <f t="shared" si="31"/>
        <v>2751419.245692689</v>
      </c>
      <c r="G66" s="137">
        <f>F66/(2000*0.453592)</f>
        <v>3032.9230296088654</v>
      </c>
      <c r="H66" s="116">
        <f>IF(G66&gt;K66,(VLOOKUP(B66,'2025 Regression Curves'!$A$5:$H$17,4,FALSE)*K66)/(VLOOKUP(B66,'2025 Regression Curves'!$A$5:$H$17,5,FALSE)+K66),(VLOOKUP(B66,'2025 Regression Curves'!$A$5:$H$17,4,FALSE)*G66)/(VLOOKUP(B66,'2025 Regression Curves'!$A$5:$H$17,5,FALSE)+G66))</f>
        <v>0.146411869984412</v>
      </c>
      <c r="I66" s="122">
        <f t="shared" si="34"/>
        <v>0.1658118572869898</v>
      </c>
      <c r="K66" s="115">
        <f>VLOOKUP(B66,'2025 Regression Curves'!$A$5:$H$17,6,FALSE)</f>
        <v>2000</v>
      </c>
      <c r="L66" s="97"/>
      <c r="M66" s="97"/>
      <c r="N66" s="97"/>
      <c r="O66" s="97"/>
      <c r="P66" s="96"/>
      <c r="Q66" s="96"/>
    </row>
    <row r="67" spans="2:18" ht="15.75" x14ac:dyDescent="0.25">
      <c r="B67" s="102" t="s">
        <v>251</v>
      </c>
      <c r="C67" s="174" t="s">
        <v>255</v>
      </c>
      <c r="D67" s="127">
        <f>F67/75</f>
        <v>12800</v>
      </c>
      <c r="E67" s="172">
        <f t="shared" si="30"/>
        <v>12800</v>
      </c>
      <c r="F67" s="133">
        <f t="shared" si="31"/>
        <v>960000</v>
      </c>
      <c r="G67" s="166">
        <f>F67/(2000*0.453592)</f>
        <v>1058.2197216882132</v>
      </c>
      <c r="H67" s="116">
        <f>IF(G67&gt;K67,(VLOOKUP(B67,'2025 Regression Curves'!$A$5:$H$17,4,FALSE)*K67)/(VLOOKUP(B67,'2025 Regression Curves'!$A$5:$H$17,5,FALSE)+K67),(VLOOKUP(B67,'2025 Regression Curves'!$A$5:$H$17,4,FALSE)*G67)/(VLOOKUP(B67,'2025 Regression Curves'!$A$5:$H$17,5,FALSE)+G67))</f>
        <v>0.15296111555763403</v>
      </c>
      <c r="I67" s="122">
        <f t="shared" ref="I67" si="35">H67/0.883</f>
        <v>0.17322889644126163</v>
      </c>
      <c r="K67" s="115">
        <f>VLOOKUP(B67,'2025 Regression Curves'!$A$5:$H$17,6,FALSE)</f>
        <v>1500</v>
      </c>
      <c r="L67" s="97"/>
      <c r="M67" s="97"/>
      <c r="N67" s="97"/>
      <c r="O67" s="97"/>
      <c r="P67" s="96"/>
      <c r="Q67" s="96"/>
    </row>
    <row r="68" spans="2:18" x14ac:dyDescent="0.25">
      <c r="E68" s="171" t="s">
        <v>261</v>
      </c>
      <c r="J68" s="93"/>
      <c r="L68" s="96"/>
      <c r="M68" s="96"/>
      <c r="N68" s="96"/>
      <c r="O68" s="96"/>
      <c r="P68" s="96"/>
      <c r="Q68" s="96"/>
    </row>
    <row r="72" spans="2:18" x14ac:dyDescent="0.25">
      <c r="F72" s="93" t="s">
        <v>245</v>
      </c>
    </row>
    <row r="73" spans="2:18" ht="26.25" x14ac:dyDescent="0.4">
      <c r="C73" s="94" t="s">
        <v>246</v>
      </c>
      <c r="D73" s="95" t="s">
        <v>215</v>
      </c>
      <c r="E73" s="95"/>
      <c r="F73" s="95" t="s">
        <v>216</v>
      </c>
      <c r="H73" s="93" t="s">
        <v>217</v>
      </c>
      <c r="I73" s="93" t="s">
        <v>217</v>
      </c>
      <c r="L73" s="97"/>
      <c r="M73" s="97"/>
      <c r="N73" s="97"/>
      <c r="O73" s="97"/>
      <c r="P73" s="97"/>
      <c r="Q73" s="97"/>
      <c r="R73" s="97"/>
    </row>
    <row r="74" spans="2:18" ht="15.75" thickBot="1" x14ac:dyDescent="0.3">
      <c r="B74" s="117" t="s">
        <v>218</v>
      </c>
      <c r="C74" s="117" t="s">
        <v>219</v>
      </c>
      <c r="D74" s="118" t="s">
        <v>220</v>
      </c>
      <c r="E74" s="167" t="s">
        <v>262</v>
      </c>
      <c r="F74" s="154" t="s">
        <v>247</v>
      </c>
      <c r="G74" s="118" t="s">
        <v>240</v>
      </c>
      <c r="H74" s="117" t="s">
        <v>223</v>
      </c>
      <c r="I74" s="117" t="s">
        <v>224</v>
      </c>
      <c r="K74" s="119" t="s">
        <v>226</v>
      </c>
      <c r="L74" s="97"/>
      <c r="M74" s="97"/>
      <c r="N74" s="97"/>
      <c r="O74" s="97"/>
      <c r="P74" s="97"/>
      <c r="Q74" s="97"/>
      <c r="R74" s="97"/>
    </row>
    <row r="75" spans="2:18" ht="15.75" x14ac:dyDescent="0.25">
      <c r="B75" s="98" t="s">
        <v>7</v>
      </c>
      <c r="C75" s="99" t="s">
        <v>227</v>
      </c>
      <c r="D75" s="125">
        <f>F75/50</f>
        <v>26490</v>
      </c>
      <c r="E75" s="173">
        <f>ROUND(D75,-2)</f>
        <v>26500</v>
      </c>
      <c r="F75" s="135">
        <f>VLOOKUP(B75,$B$4:$D$15,3,FALSE)*3</f>
        <v>1324500</v>
      </c>
      <c r="G75" s="138">
        <f>F75/(2000*0.453592)</f>
        <v>1460.0125222667066</v>
      </c>
      <c r="H75" s="116">
        <f>IF(G75&gt;K75,(VLOOKUP(B75,'2025 Regression Curves'!$A$5:$H$17,4,FALSE)*K75)/(VLOOKUP(B75,'2025 Regression Curves'!$A$5:$H$17,5,FALSE)+K75),(VLOOKUP(B75,'2025 Regression Curves'!$A$5:$H$17,4,FALSE)*G75)/(VLOOKUP(B75,'2025 Regression Curves'!$A$5:$H$17,5,FALSE)+G75))</f>
        <v>0.16294965082172025</v>
      </c>
      <c r="I75" s="121">
        <f>H75/0.883</f>
        <v>0.18454094090795045</v>
      </c>
      <c r="K75" s="115">
        <f>VLOOKUP(B75,'2025 Regression Curves'!$A$5:$H$17,6,FALSE)</f>
        <v>3000</v>
      </c>
      <c r="L75" s="97"/>
      <c r="M75" s="97"/>
      <c r="N75" s="97"/>
      <c r="O75" s="97"/>
      <c r="P75" s="97"/>
      <c r="Q75" s="97"/>
      <c r="R75" s="97"/>
    </row>
    <row r="76" spans="2:18" ht="15.75" x14ac:dyDescent="0.25">
      <c r="B76" s="113" t="s">
        <v>8</v>
      </c>
      <c r="C76" s="114" t="s">
        <v>263</v>
      </c>
      <c r="D76" s="125">
        <f>F76/50</f>
        <v>13110</v>
      </c>
      <c r="E76" s="173">
        <f t="shared" ref="E76:E86" si="36">ROUND(D76,-2)</f>
        <v>13100</v>
      </c>
      <c r="F76" s="135">
        <f t="shared" ref="F76:F86" si="37">VLOOKUP(B76,$B$4:$D$15,3,FALSE)*3</f>
        <v>655500</v>
      </c>
      <c r="G76" s="138">
        <f>F76/(2000*0.453592)</f>
        <v>722.56565371523311</v>
      </c>
      <c r="H76" s="116">
        <f>IF(G76&gt;K76,(VLOOKUP(B76,'2025 Regression Curves'!$A$5:$H$17,4,FALSE)*K76)/(VLOOKUP(B76,'2025 Regression Curves'!$A$5:$H$17,5,FALSE)+K76),(VLOOKUP(B76,'2025 Regression Curves'!$A$5:$H$17,4,FALSE)*G76)/(VLOOKUP(B76,'2025 Regression Curves'!$A$5:$H$17,5,FALSE)+G76))</f>
        <v>0.17557971022387872</v>
      </c>
      <c r="I76" s="121">
        <f>H76/0.883</f>
        <v>0.19884451893984001</v>
      </c>
      <c r="J76" s="124"/>
      <c r="K76" s="115">
        <f>VLOOKUP(B76,'2025 Regression Curves'!$A$5:$H$17,6,FALSE)</f>
        <v>2000</v>
      </c>
      <c r="L76" s="124"/>
      <c r="M76" s="124"/>
      <c r="N76" s="124"/>
      <c r="O76" s="97"/>
      <c r="P76" s="97"/>
      <c r="Q76" s="97"/>
      <c r="R76" s="97"/>
    </row>
    <row r="77" spans="2:18" ht="15.75" x14ac:dyDescent="0.25">
      <c r="B77" s="98" t="s">
        <v>198</v>
      </c>
      <c r="C77" s="99" t="s">
        <v>229</v>
      </c>
      <c r="D77" s="125">
        <f>F77/50</f>
        <v>31701.475262589651</v>
      </c>
      <c r="E77" s="173">
        <f t="shared" si="36"/>
        <v>31700</v>
      </c>
      <c r="F77" s="135">
        <f t="shared" si="37"/>
        <v>1585073.7631294825</v>
      </c>
      <c r="G77" s="138">
        <f>F77/(2000*0.453592)</f>
        <v>1747.2461629939269</v>
      </c>
      <c r="H77" s="116">
        <f>IF(G77&gt;K77,(VLOOKUP(B77,'2025 Regression Curves'!$A$5:$H$17,4,FALSE)*K77)/(VLOOKUP(B77,'2025 Regression Curves'!$A$5:$H$17,5,FALSE)+K77),(VLOOKUP(B77,'2025 Regression Curves'!$A$5:$H$17,4,FALSE)*G77)/(VLOOKUP(B77,'2025 Regression Curves'!$A$5:$H$17,5,FALSE)+G77))</f>
        <v>0.17433779445128664</v>
      </c>
      <c r="I77" s="121">
        <f>H77/0.883</f>
        <v>0.19743804581119664</v>
      </c>
      <c r="K77" s="115">
        <f>VLOOKUP(B77,'2025 Regression Curves'!$A$5:$H$17,6,FALSE)</f>
        <v>2000</v>
      </c>
      <c r="L77" s="124"/>
      <c r="M77" s="124"/>
      <c r="N77" s="124"/>
      <c r="O77" s="97"/>
      <c r="P77" s="97"/>
      <c r="Q77" s="97"/>
      <c r="R77" s="97"/>
    </row>
    <row r="78" spans="2:18" ht="15.75" x14ac:dyDescent="0.25">
      <c r="B78" s="98" t="s">
        <v>9</v>
      </c>
      <c r="C78" s="99" t="s">
        <v>230</v>
      </c>
      <c r="D78" s="125">
        <f t="shared" ref="D78:D85" si="38">F78/50</f>
        <v>59040</v>
      </c>
      <c r="E78" s="173">
        <f t="shared" si="36"/>
        <v>59000</v>
      </c>
      <c r="F78" s="135">
        <f t="shared" si="37"/>
        <v>2952000</v>
      </c>
      <c r="G78" s="138">
        <f t="shared" ref="G78:G85" si="39">F78/(2000*0.453592)</f>
        <v>3254.0256441912557</v>
      </c>
      <c r="H78" s="116">
        <f>IF(G78&gt;K78,(VLOOKUP(B78,'2025 Regression Curves'!$A$5:$H$17,4,FALSE)*K78)/(VLOOKUP(B78,'2025 Regression Curves'!$A$5:$H$17,5,FALSE)+K78),(VLOOKUP(B78,'2025 Regression Curves'!$A$5:$H$17,4,FALSE)*G78)/(VLOOKUP(B78,'2025 Regression Curves'!$A$5:$H$17,5,FALSE)+G78))</f>
        <v>0.16390260413626145</v>
      </c>
      <c r="I78" s="121">
        <f t="shared" ref="I78:I85" si="40">H78/0.883</f>
        <v>0.18562016323472419</v>
      </c>
      <c r="J78" s="124"/>
      <c r="K78" s="115">
        <f>VLOOKUP(B78,'2025 Regression Curves'!$A$5:$H$17,6,FALSE)</f>
        <v>4000</v>
      </c>
      <c r="L78" s="124"/>
      <c r="M78" s="124"/>
      <c r="N78" s="124"/>
      <c r="O78" s="97"/>
      <c r="P78" s="97"/>
      <c r="Q78" s="97"/>
      <c r="R78" s="97"/>
    </row>
    <row r="79" spans="2:18" ht="15.75" x14ac:dyDescent="0.25">
      <c r="B79" s="98" t="s">
        <v>10</v>
      </c>
      <c r="C79" s="99" t="s">
        <v>264</v>
      </c>
      <c r="D79" s="125">
        <f>F79/50</f>
        <v>17400</v>
      </c>
      <c r="E79" s="173">
        <f t="shared" si="36"/>
        <v>17400</v>
      </c>
      <c r="F79" s="135">
        <f t="shared" si="37"/>
        <v>870000</v>
      </c>
      <c r="G79" s="138">
        <f>F79/(2000*0.453592)</f>
        <v>959.0116227799432</v>
      </c>
      <c r="H79" s="116">
        <f>IF(G79&gt;K79,(VLOOKUP(B79,'2025 Regression Curves'!$A$5:$H$17,4,FALSE)*K79)/(VLOOKUP(B79,'2025 Regression Curves'!$A$5:$H$17,5,FALSE)+K79),(VLOOKUP(B79,'2025 Regression Curves'!$A$5:$H$17,4,FALSE)*G79)/(VLOOKUP(B79,'2025 Regression Curves'!$A$5:$H$17,5,FALSE)+G79))</f>
        <v>0.15584006536251113</v>
      </c>
      <c r="I79" s="121">
        <f>H79/0.883</f>
        <v>0.17648931524633196</v>
      </c>
      <c r="J79" s="124"/>
      <c r="K79" s="115">
        <f>VLOOKUP(B79,'2025 Regression Curves'!$A$5:$H$17,6,FALSE)</f>
        <v>3000</v>
      </c>
      <c r="L79" s="124"/>
      <c r="M79" s="124"/>
      <c r="N79" s="124"/>
      <c r="O79" s="97"/>
      <c r="P79" s="97"/>
      <c r="Q79" s="97"/>
      <c r="R79" s="97"/>
    </row>
    <row r="80" spans="2:18" ht="15.75" x14ac:dyDescent="0.25">
      <c r="B80" s="98" t="s">
        <v>11</v>
      </c>
      <c r="C80" s="99" t="s">
        <v>231</v>
      </c>
      <c r="D80" s="125">
        <f>F80/50</f>
        <v>67927.33937860826</v>
      </c>
      <c r="E80" s="173">
        <f t="shared" si="36"/>
        <v>67900</v>
      </c>
      <c r="F80" s="135">
        <f t="shared" si="37"/>
        <v>3396366.968930413</v>
      </c>
      <c r="G80" s="139">
        <f>F80/(2000*0.453592)</f>
        <v>3743.8567798047729</v>
      </c>
      <c r="H80" s="116">
        <f>IF(G80&gt;K80,(VLOOKUP(B80,'2025 Regression Curves'!$A$5:$H$17,4,FALSE)*K80)/(VLOOKUP(B80,'2025 Regression Curves'!$A$5:$H$17,5,FALSE)+K80),(VLOOKUP(B80,'2025 Regression Curves'!$A$5:$H$17,4,FALSE)*G80)/(VLOOKUP(B80,'2025 Regression Curves'!$A$5:$H$17,5,FALSE)+G80))</f>
        <v>0.13207453314195744</v>
      </c>
      <c r="I80" s="121">
        <f>H80/0.883</f>
        <v>0.14957478272022359</v>
      </c>
      <c r="K80" s="115">
        <f>VLOOKUP(B80,'2025 Regression Curves'!$A$5:$H$17,6,FALSE)</f>
        <v>2000</v>
      </c>
      <c r="L80" s="124"/>
      <c r="M80" s="124"/>
      <c r="N80" s="124"/>
      <c r="O80" s="97"/>
      <c r="P80" s="97"/>
      <c r="Q80" s="97"/>
      <c r="R80" s="97"/>
    </row>
    <row r="81" spans="2:18" ht="15.75" x14ac:dyDescent="0.25">
      <c r="B81" s="98" t="s">
        <v>12</v>
      </c>
      <c r="C81" s="99" t="s">
        <v>232</v>
      </c>
      <c r="D81" s="125">
        <f t="shared" si="38"/>
        <v>18150</v>
      </c>
      <c r="E81" s="173">
        <f t="shared" si="36"/>
        <v>18200</v>
      </c>
      <c r="F81" s="135">
        <f t="shared" si="37"/>
        <v>907500</v>
      </c>
      <c r="G81" s="138">
        <f t="shared" si="39"/>
        <v>1000.348330658389</v>
      </c>
      <c r="H81" s="116">
        <f>IF(G81&gt;K81,(VLOOKUP(B81,'2025 Regression Curves'!$A$5:$H$17,4,FALSE)*K81)/(VLOOKUP(B81,'2025 Regression Curves'!$A$5:$H$17,5,FALSE)+K81),(VLOOKUP(B81,'2025 Regression Curves'!$A$5:$H$17,4,FALSE)*G81)/(VLOOKUP(B81,'2025 Regression Curves'!$A$5:$H$17,5,FALSE)+G81))</f>
        <v>0.14787908104442235</v>
      </c>
      <c r="I81" s="121">
        <f t="shared" si="40"/>
        <v>0.16747347796650322</v>
      </c>
      <c r="J81" s="124"/>
      <c r="K81" s="115">
        <f>VLOOKUP(B81,'2025 Regression Curves'!$A$5:$H$17,6,FALSE)</f>
        <v>2000</v>
      </c>
      <c r="L81" s="124"/>
      <c r="M81" s="124"/>
      <c r="N81" s="124"/>
      <c r="O81" s="97"/>
      <c r="P81" s="97"/>
      <c r="Q81" s="97"/>
      <c r="R81" s="97"/>
    </row>
    <row r="82" spans="2:18" ht="15.75" x14ac:dyDescent="0.25">
      <c r="B82" s="98" t="s">
        <v>13</v>
      </c>
      <c r="C82" s="99" t="s">
        <v>233</v>
      </c>
      <c r="D82" s="125">
        <f t="shared" si="38"/>
        <v>15960</v>
      </c>
      <c r="E82" s="173">
        <f t="shared" si="36"/>
        <v>16000</v>
      </c>
      <c r="F82" s="135">
        <f t="shared" si="37"/>
        <v>798000</v>
      </c>
      <c r="G82" s="138">
        <f t="shared" si="39"/>
        <v>879.6451436533273</v>
      </c>
      <c r="H82" s="116">
        <f>IF(G82&gt;K82,(VLOOKUP(B82,'2025 Regression Curves'!$A$5:$H$17,4,FALSE)*K82)/(VLOOKUP(B82,'2025 Regression Curves'!$A$5:$H$17,5,FALSE)+K82),(VLOOKUP(B82,'2025 Regression Curves'!$A$5:$H$17,4,FALSE)*G82)/(VLOOKUP(B82,'2025 Regression Curves'!$A$5:$H$17,5,FALSE)+G82))</f>
        <v>0.1561909736018656</v>
      </c>
      <c r="I82" s="121">
        <f t="shared" si="40"/>
        <v>0.17688671982091234</v>
      </c>
      <c r="J82" s="124"/>
      <c r="K82" s="115">
        <f>VLOOKUP(B82,'2025 Regression Curves'!$A$5:$H$17,6,FALSE)</f>
        <v>2000</v>
      </c>
      <c r="L82" s="124"/>
      <c r="M82" s="124"/>
      <c r="N82" s="124"/>
      <c r="O82" s="97"/>
      <c r="P82" s="97"/>
      <c r="Q82" s="97"/>
      <c r="R82" s="97"/>
    </row>
    <row r="83" spans="2:18" ht="15.75" x14ac:dyDescent="0.25">
      <c r="B83" s="98" t="s">
        <v>14</v>
      </c>
      <c r="C83" s="99" t="s">
        <v>234</v>
      </c>
      <c r="D83" s="125">
        <f t="shared" si="38"/>
        <v>15942</v>
      </c>
      <c r="E83" s="173">
        <f t="shared" si="36"/>
        <v>15900</v>
      </c>
      <c r="F83" s="135">
        <f t="shared" si="37"/>
        <v>797100</v>
      </c>
      <c r="G83" s="138">
        <f t="shared" si="39"/>
        <v>878.65306266424454</v>
      </c>
      <c r="H83" s="116">
        <f>IF(G83&gt;K83,(VLOOKUP(B83,'2025 Regression Curves'!$A$5:$H$17,4,FALSE)*K83)/(VLOOKUP(B83,'2025 Regression Curves'!$A$5:$H$17,5,FALSE)+K83),(VLOOKUP(B83,'2025 Regression Curves'!$A$5:$H$17,4,FALSE)*G83)/(VLOOKUP(B83,'2025 Regression Curves'!$A$5:$H$17,5,FALSE)+G83))</f>
        <v>0.16341905539155238</v>
      </c>
      <c r="I83" s="121">
        <f t="shared" si="40"/>
        <v>0.18507254291229036</v>
      </c>
      <c r="J83" s="124"/>
      <c r="K83" s="115">
        <f>VLOOKUP(B83,'2025 Regression Curves'!$A$5:$H$17,6,FALSE)</f>
        <v>2000</v>
      </c>
      <c r="L83" s="124"/>
      <c r="M83" s="124"/>
      <c r="N83" s="124"/>
      <c r="O83" s="97"/>
      <c r="P83" s="97"/>
      <c r="Q83" s="97"/>
      <c r="R83" s="97"/>
    </row>
    <row r="84" spans="2:18" ht="15.75" x14ac:dyDescent="0.25">
      <c r="B84" s="98" t="s">
        <v>15</v>
      </c>
      <c r="C84" s="99" t="s">
        <v>235</v>
      </c>
      <c r="D84" s="125">
        <f t="shared" si="38"/>
        <v>48900</v>
      </c>
      <c r="E84" s="173">
        <f t="shared" si="36"/>
        <v>48900</v>
      </c>
      <c r="F84" s="135">
        <f t="shared" si="37"/>
        <v>2445000</v>
      </c>
      <c r="G84" s="139">
        <f t="shared" si="39"/>
        <v>2695.1533536746679</v>
      </c>
      <c r="H84" s="116">
        <f>IF(G84&gt;K84,(VLOOKUP(B84,'2025 Regression Curves'!$A$5:$H$17,4,FALSE)*K84)/(VLOOKUP(B84,'2025 Regression Curves'!$A$5:$H$17,5,FALSE)+K84),(VLOOKUP(B84,'2025 Regression Curves'!$A$5:$H$17,4,FALSE)*G84)/(VLOOKUP(B84,'2025 Regression Curves'!$A$5:$H$17,5,FALSE)+G84))</f>
        <v>0.13793035588843139</v>
      </c>
      <c r="I84" s="121">
        <f t="shared" si="40"/>
        <v>0.15620651855994494</v>
      </c>
      <c r="J84" s="124"/>
      <c r="K84" s="115">
        <f>VLOOKUP(B84,'2025 Regression Curves'!$A$5:$H$17,6,FALSE)</f>
        <v>2500</v>
      </c>
      <c r="L84" s="124"/>
      <c r="M84" s="124"/>
      <c r="N84" s="124"/>
      <c r="O84" s="97"/>
      <c r="P84" s="97"/>
      <c r="Q84" s="97"/>
      <c r="R84" s="97"/>
    </row>
    <row r="85" spans="2:18" ht="15.75" x14ac:dyDescent="0.25">
      <c r="B85" s="98" t="s">
        <v>16</v>
      </c>
      <c r="C85" s="99" t="s">
        <v>236</v>
      </c>
      <c r="D85" s="125">
        <f t="shared" si="38"/>
        <v>55028.384913853777</v>
      </c>
      <c r="E85" s="173">
        <f t="shared" si="36"/>
        <v>55000</v>
      </c>
      <c r="F85" s="135">
        <f t="shared" si="37"/>
        <v>2751419.245692689</v>
      </c>
      <c r="G85" s="139">
        <f t="shared" si="39"/>
        <v>3032.9230296088654</v>
      </c>
      <c r="H85" s="116">
        <f>IF(G85&gt;K85,(VLOOKUP(B85,'2025 Regression Curves'!$A$5:$H$17,4,FALSE)*K85)/(VLOOKUP(B85,'2025 Regression Curves'!$A$5:$H$17,5,FALSE)+K85),(VLOOKUP(B85,'2025 Regression Curves'!$A$5:$H$17,4,FALSE)*G85)/(VLOOKUP(B85,'2025 Regression Curves'!$A$5:$H$17,5,FALSE)+G85))</f>
        <v>0.146411869984412</v>
      </c>
      <c r="I85" s="121">
        <f t="shared" si="40"/>
        <v>0.1658118572869898</v>
      </c>
      <c r="K85" s="115">
        <f>VLOOKUP(B85,'2025 Regression Curves'!$A$5:$H$17,6,FALSE)</f>
        <v>2000</v>
      </c>
      <c r="L85" s="97"/>
      <c r="M85" s="97"/>
      <c r="N85" s="97"/>
      <c r="O85" s="97"/>
      <c r="P85" s="97"/>
      <c r="Q85" s="97"/>
      <c r="R85" s="97"/>
    </row>
    <row r="86" spans="2:18" ht="15.75" x14ac:dyDescent="0.25">
      <c r="B86" s="102" t="s">
        <v>251</v>
      </c>
      <c r="C86" s="174" t="s">
        <v>255</v>
      </c>
      <c r="D86" s="125">
        <f t="shared" ref="D86" si="41">F86/50</f>
        <v>19200</v>
      </c>
      <c r="E86" s="173">
        <f t="shared" si="36"/>
        <v>19200</v>
      </c>
      <c r="F86" s="135">
        <f t="shared" si="37"/>
        <v>960000</v>
      </c>
      <c r="G86" s="138">
        <f t="shared" ref="G86" si="42">F86/(2000*0.453592)</f>
        <v>1058.2197216882132</v>
      </c>
      <c r="H86" s="116">
        <f>IF(G86&gt;K86,(VLOOKUP(B86,'2025 Regression Curves'!$A$5:$H$17,4,FALSE)*K86)/(VLOOKUP(B86,'2025 Regression Curves'!$A$5:$H$17,5,FALSE)+K86),(VLOOKUP(B86,'2025 Regression Curves'!$A$5:$H$17,4,FALSE)*G86)/(VLOOKUP(B86,'2025 Regression Curves'!$A$5:$H$17,5,FALSE)+G86))</f>
        <v>0.15296111555763403</v>
      </c>
      <c r="I86" s="121">
        <f t="shared" ref="I86" si="43">H86/0.883</f>
        <v>0.17322889644126163</v>
      </c>
      <c r="K86" s="115">
        <f>VLOOKUP(B86,'2025 Regression Curves'!$A$5:$H$17,6,FALSE)</f>
        <v>1500</v>
      </c>
      <c r="L86" s="97"/>
      <c r="M86" s="97"/>
      <c r="N86" s="97"/>
      <c r="O86" s="97"/>
      <c r="P86" s="97"/>
      <c r="Q86" s="97"/>
      <c r="R86" s="97"/>
    </row>
    <row r="87" spans="2:18" x14ac:dyDescent="0.25">
      <c r="E87" s="171" t="s">
        <v>261</v>
      </c>
      <c r="J87" s="93"/>
    </row>
    <row r="91" spans="2:18" x14ac:dyDescent="0.25">
      <c r="F91" s="93" t="s">
        <v>248</v>
      </c>
    </row>
    <row r="92" spans="2:18" ht="26.25" x14ac:dyDescent="0.4">
      <c r="C92" s="94" t="s">
        <v>249</v>
      </c>
      <c r="D92" s="95" t="s">
        <v>215</v>
      </c>
      <c r="E92" s="95"/>
      <c r="F92" s="95" t="s">
        <v>216</v>
      </c>
      <c r="H92" s="93" t="s">
        <v>217</v>
      </c>
      <c r="I92" s="93" t="s">
        <v>217</v>
      </c>
      <c r="K92" s="97"/>
      <c r="L92" s="97"/>
      <c r="M92" s="97"/>
      <c r="N92" s="97"/>
      <c r="O92" s="97"/>
      <c r="P92" s="97"/>
      <c r="Q92" s="97"/>
    </row>
    <row r="93" spans="2:18" ht="15.75" thickBot="1" x14ac:dyDescent="0.3">
      <c r="B93" s="117" t="s">
        <v>218</v>
      </c>
      <c r="C93" s="117" t="s">
        <v>219</v>
      </c>
      <c r="D93" s="118" t="s">
        <v>220</v>
      </c>
      <c r="E93" s="167" t="s">
        <v>262</v>
      </c>
      <c r="F93" s="154" t="s">
        <v>247</v>
      </c>
      <c r="G93" s="118" t="s">
        <v>240</v>
      </c>
      <c r="H93" s="117" t="s">
        <v>223</v>
      </c>
      <c r="I93" s="117" t="s">
        <v>224</v>
      </c>
      <c r="K93" s="119" t="s">
        <v>226</v>
      </c>
      <c r="L93" s="97"/>
      <c r="M93" s="97"/>
      <c r="N93" s="97"/>
      <c r="O93" s="97"/>
      <c r="P93" s="97"/>
      <c r="Q93" s="97"/>
    </row>
    <row r="94" spans="2:18" ht="15.75" x14ac:dyDescent="0.25">
      <c r="B94" s="98" t="s">
        <v>7</v>
      </c>
      <c r="C94" s="99" t="s">
        <v>227</v>
      </c>
      <c r="D94" s="127">
        <f>F94/50</f>
        <v>26490</v>
      </c>
      <c r="E94" s="172">
        <f>ROUND(D94,-2)</f>
        <v>26500</v>
      </c>
      <c r="F94" s="133">
        <f>VLOOKUP(B94,$B$4:$D$15,3,FALSE)*3</f>
        <v>1324500</v>
      </c>
      <c r="G94" s="134">
        <f>F94/(2000*0.453592)</f>
        <v>1460.0125222667066</v>
      </c>
      <c r="H94" s="121">
        <f>IF(G94&gt;K94,(VLOOKUP(B94,'2025 Regression Curves'!$A$5:$H$17,4,FALSE)*K94)/(VLOOKUP(B94,'2025 Regression Curves'!$A$5:$H$17,5,FALSE)+K94),(VLOOKUP(B94,'2025 Regression Curves'!$A$5:$H$17,4,FALSE)*G94)/(VLOOKUP(B94,'2025 Regression Curves'!$A$5:$H$17,5,FALSE)+G94))</f>
        <v>0.16294965082172025</v>
      </c>
      <c r="I94" s="122">
        <f>H94/0.883</f>
        <v>0.18454094090795045</v>
      </c>
      <c r="K94" s="115">
        <f>VLOOKUP(B94,'2025 Regression Curves'!$A$5:$H$17,6,FALSE)</f>
        <v>3000</v>
      </c>
      <c r="L94" s="97"/>
      <c r="M94" s="97"/>
      <c r="N94" s="97"/>
      <c r="O94" s="97"/>
      <c r="P94" s="97"/>
      <c r="Q94" s="97"/>
    </row>
    <row r="95" spans="2:18" ht="15.75" x14ac:dyDescent="0.25">
      <c r="B95" s="113" t="s">
        <v>8</v>
      </c>
      <c r="C95" s="114" t="s">
        <v>263</v>
      </c>
      <c r="D95" s="125">
        <f>F95/50</f>
        <v>13110</v>
      </c>
      <c r="E95" s="172">
        <f t="shared" ref="E95:E105" si="44">ROUND(D95,-2)</f>
        <v>13100</v>
      </c>
      <c r="F95" s="133">
        <f t="shared" ref="F95:F105" si="45">VLOOKUP(B95,$B$4:$D$15,3,FALSE)*3</f>
        <v>655500</v>
      </c>
      <c r="G95" s="136">
        <f>F95/(2000*0.453592)</f>
        <v>722.56565371523311</v>
      </c>
      <c r="H95" s="121">
        <f>IF(G95&gt;K95,(VLOOKUP(B95,'2025 Regression Curves'!$A$5:$H$17,4,FALSE)*K95)/(VLOOKUP(B95,'2025 Regression Curves'!$A$5:$H$17,5,FALSE)+K95),(VLOOKUP(B95,'2025 Regression Curves'!$A$5:$H$17,4,FALSE)*G95)/(VLOOKUP(B95,'2025 Regression Curves'!$A$5:$H$17,5,FALSE)+G95))</f>
        <v>0.17557971022387872</v>
      </c>
      <c r="I95" s="121">
        <f>H95/0.883</f>
        <v>0.19884451893984001</v>
      </c>
      <c r="J95" s="124"/>
      <c r="K95" s="115">
        <f>VLOOKUP(B95,'2025 Regression Curves'!$A$5:$H$17,6,FALSE)</f>
        <v>2000</v>
      </c>
      <c r="L95" s="124"/>
      <c r="M95" s="124"/>
      <c r="N95" s="124"/>
      <c r="O95" s="97"/>
      <c r="P95" s="97"/>
      <c r="Q95" s="97"/>
    </row>
    <row r="96" spans="2:18" ht="15.75" x14ac:dyDescent="0.25">
      <c r="B96" s="98" t="s">
        <v>198</v>
      </c>
      <c r="C96" s="99" t="s">
        <v>229</v>
      </c>
      <c r="D96" s="127">
        <f>F96/50</f>
        <v>31701.475262589651</v>
      </c>
      <c r="E96" s="172">
        <f t="shared" si="44"/>
        <v>31700</v>
      </c>
      <c r="F96" s="133">
        <f t="shared" si="45"/>
        <v>1585073.7631294825</v>
      </c>
      <c r="G96" s="134">
        <f>F96/(2000*0.453592)</f>
        <v>1747.2461629939269</v>
      </c>
      <c r="H96" s="121">
        <f>IF(G96&gt;K96,(VLOOKUP(B96,'2025 Regression Curves'!$A$5:$H$17,4,FALSE)*K96)/(VLOOKUP(B96,'2025 Regression Curves'!$A$5:$H$17,5,FALSE)+K96),(VLOOKUP(B96,'2025 Regression Curves'!$A$5:$H$17,4,FALSE)*G96)/(VLOOKUP(B96,'2025 Regression Curves'!$A$5:$H$17,5,FALSE)+G96))</f>
        <v>0.17433779445128664</v>
      </c>
      <c r="I96" s="122">
        <f>H96/0.883</f>
        <v>0.19743804581119664</v>
      </c>
      <c r="K96" s="115">
        <f>VLOOKUP(B96,'2025 Regression Curves'!$A$5:$H$17,6,FALSE)</f>
        <v>2000</v>
      </c>
      <c r="L96" s="124"/>
      <c r="M96" s="124"/>
      <c r="N96" s="124"/>
      <c r="O96" s="97"/>
      <c r="P96" s="97"/>
      <c r="Q96" s="97"/>
    </row>
    <row r="97" spans="2:17" ht="15.75" x14ac:dyDescent="0.25">
      <c r="B97" s="98" t="s">
        <v>9</v>
      </c>
      <c r="C97" s="99" t="s">
        <v>230</v>
      </c>
      <c r="D97" s="127">
        <f t="shared" ref="D97:D104" si="46">F97/50</f>
        <v>59040</v>
      </c>
      <c r="E97" s="172">
        <f t="shared" si="44"/>
        <v>59000</v>
      </c>
      <c r="F97" s="133">
        <f t="shared" si="45"/>
        <v>2952000</v>
      </c>
      <c r="G97" s="134">
        <f t="shared" ref="G97:G104" si="47">F97/(2000*0.453592)</f>
        <v>3254.0256441912557</v>
      </c>
      <c r="H97" s="121">
        <f>IF(G97&gt;K97,(VLOOKUP(B97,'2025 Regression Curves'!$A$5:$H$17,4,FALSE)*K97)/(VLOOKUP(B97,'2025 Regression Curves'!$A$5:$H$17,5,FALSE)+K97),(VLOOKUP(B97,'2025 Regression Curves'!$A$5:$H$17,4,FALSE)*G97)/(VLOOKUP(B97,'2025 Regression Curves'!$A$5:$H$17,5,FALSE)+G97))</f>
        <v>0.16390260413626145</v>
      </c>
      <c r="I97" s="122">
        <f t="shared" ref="I97:I104" si="48">H97/0.883</f>
        <v>0.18562016323472419</v>
      </c>
      <c r="J97" s="124"/>
      <c r="K97" s="115">
        <f>VLOOKUP(B97,'2025 Regression Curves'!$A$5:$H$17,6,FALSE)</f>
        <v>4000</v>
      </c>
      <c r="L97" s="124"/>
      <c r="M97" s="124"/>
      <c r="N97" s="124"/>
      <c r="O97" s="97"/>
      <c r="P97" s="97"/>
      <c r="Q97" s="97"/>
    </row>
    <row r="98" spans="2:17" ht="15.75" x14ac:dyDescent="0.25">
      <c r="B98" s="98" t="s">
        <v>10</v>
      </c>
      <c r="C98" s="99" t="s">
        <v>264</v>
      </c>
      <c r="D98" s="127">
        <f>F98/50</f>
        <v>17400</v>
      </c>
      <c r="E98" s="172">
        <f t="shared" si="44"/>
        <v>17400</v>
      </c>
      <c r="F98" s="133">
        <f t="shared" si="45"/>
        <v>870000</v>
      </c>
      <c r="G98" s="134">
        <f>F98/(2000*0.453592)</f>
        <v>959.0116227799432</v>
      </c>
      <c r="H98" s="121">
        <f>IF(G98&gt;K98,(VLOOKUP(B98,'2025 Regression Curves'!$A$5:$H$17,4,FALSE)*K98)/(VLOOKUP(B98,'2025 Regression Curves'!$A$5:$H$17,5,FALSE)+K98),(VLOOKUP(B98,'2025 Regression Curves'!$A$5:$H$17,4,FALSE)*G98)/(VLOOKUP(B98,'2025 Regression Curves'!$A$5:$H$17,5,FALSE)+G98))</f>
        <v>0.15584006536251113</v>
      </c>
      <c r="I98" s="122">
        <f>H98/0.883</f>
        <v>0.17648931524633196</v>
      </c>
      <c r="J98" s="124"/>
      <c r="K98" s="115">
        <f>VLOOKUP(B98,'2025 Regression Curves'!$A$5:$H$17,6,FALSE)</f>
        <v>3000</v>
      </c>
      <c r="L98" s="124"/>
      <c r="M98" s="124"/>
      <c r="N98" s="124"/>
      <c r="O98" s="97"/>
      <c r="P98" s="97"/>
      <c r="Q98" s="97"/>
    </row>
    <row r="99" spans="2:17" ht="15.75" x14ac:dyDescent="0.25">
      <c r="B99" s="98" t="s">
        <v>11</v>
      </c>
      <c r="C99" s="99" t="s">
        <v>231</v>
      </c>
      <c r="D99" s="127">
        <f>F99/50</f>
        <v>67927.33937860826</v>
      </c>
      <c r="E99" s="172">
        <f t="shared" si="44"/>
        <v>67900</v>
      </c>
      <c r="F99" s="133">
        <f t="shared" si="45"/>
        <v>3396366.968930413</v>
      </c>
      <c r="G99" s="137">
        <f>F99/(2000*0.453592)</f>
        <v>3743.8567798047729</v>
      </c>
      <c r="H99" s="121">
        <f>IF(G99&gt;K99,(VLOOKUP(B99,'2025 Regression Curves'!$A$5:$H$17,4,FALSE)*K99)/(VLOOKUP(B99,'2025 Regression Curves'!$A$5:$H$17,5,FALSE)+K99),(VLOOKUP(B99,'2025 Regression Curves'!$A$5:$H$17,4,FALSE)*G99)/(VLOOKUP(B99,'2025 Regression Curves'!$A$5:$H$17,5,FALSE)+G99))</f>
        <v>0.13207453314195744</v>
      </c>
      <c r="I99" s="122">
        <f>H99/0.883</f>
        <v>0.14957478272022359</v>
      </c>
      <c r="K99" s="115">
        <f>VLOOKUP(B99,'2025 Regression Curves'!$A$5:$H$17,6,FALSE)</f>
        <v>2000</v>
      </c>
      <c r="L99" s="124"/>
      <c r="M99" s="124"/>
      <c r="N99" s="124"/>
      <c r="O99" s="97"/>
      <c r="P99" s="97"/>
      <c r="Q99" s="97"/>
    </row>
    <row r="100" spans="2:17" ht="15.75" x14ac:dyDescent="0.25">
      <c r="B100" s="98" t="s">
        <v>12</v>
      </c>
      <c r="C100" s="99" t="s">
        <v>232</v>
      </c>
      <c r="D100" s="127">
        <f t="shared" si="46"/>
        <v>18150</v>
      </c>
      <c r="E100" s="172">
        <f t="shared" si="44"/>
        <v>18200</v>
      </c>
      <c r="F100" s="133">
        <f t="shared" si="45"/>
        <v>907500</v>
      </c>
      <c r="G100" s="134">
        <f t="shared" si="47"/>
        <v>1000.348330658389</v>
      </c>
      <c r="H100" s="121">
        <f>IF(G100&gt;K100,(VLOOKUP(B100,'2025 Regression Curves'!$A$5:$H$17,4,FALSE)*K100)/(VLOOKUP(B100,'2025 Regression Curves'!$A$5:$H$17,5,FALSE)+K100),(VLOOKUP(B100,'2025 Regression Curves'!$A$5:$H$17,4,FALSE)*G100)/(VLOOKUP(B100,'2025 Regression Curves'!$A$5:$H$17,5,FALSE)+G100))</f>
        <v>0.14787908104442235</v>
      </c>
      <c r="I100" s="122">
        <f t="shared" si="48"/>
        <v>0.16747347796650322</v>
      </c>
      <c r="J100" s="124"/>
      <c r="K100" s="115">
        <f>VLOOKUP(B100,'2025 Regression Curves'!$A$5:$H$17,6,FALSE)</f>
        <v>2000</v>
      </c>
      <c r="L100" s="124"/>
      <c r="M100" s="124"/>
      <c r="N100" s="124"/>
      <c r="O100" s="97"/>
      <c r="P100" s="97"/>
      <c r="Q100" s="97"/>
    </row>
    <row r="101" spans="2:17" ht="15.75" x14ac:dyDescent="0.25">
      <c r="B101" s="98" t="s">
        <v>13</v>
      </c>
      <c r="C101" s="99" t="s">
        <v>233</v>
      </c>
      <c r="D101" s="127">
        <f t="shared" si="46"/>
        <v>15960</v>
      </c>
      <c r="E101" s="172">
        <f t="shared" si="44"/>
        <v>16000</v>
      </c>
      <c r="F101" s="133">
        <f t="shared" si="45"/>
        <v>798000</v>
      </c>
      <c r="G101" s="134">
        <f t="shared" si="47"/>
        <v>879.6451436533273</v>
      </c>
      <c r="H101" s="121">
        <f>IF(G101&gt;K101,(VLOOKUP(B101,'2025 Regression Curves'!$A$5:$H$17,4,FALSE)*K101)/(VLOOKUP(B101,'2025 Regression Curves'!$A$5:$H$17,5,FALSE)+K101),(VLOOKUP(B101,'2025 Regression Curves'!$A$5:$H$17,4,FALSE)*G101)/(VLOOKUP(B101,'2025 Regression Curves'!$A$5:$H$17,5,FALSE)+G101))</f>
        <v>0.1561909736018656</v>
      </c>
      <c r="I101" s="122">
        <f t="shared" si="48"/>
        <v>0.17688671982091234</v>
      </c>
      <c r="J101" s="124"/>
      <c r="K101" s="115">
        <f>VLOOKUP(B101,'2025 Regression Curves'!$A$5:$H$17,6,FALSE)</f>
        <v>2000</v>
      </c>
      <c r="L101" s="124"/>
      <c r="M101" s="124"/>
      <c r="N101" s="124"/>
      <c r="O101" s="97"/>
      <c r="P101" s="97"/>
      <c r="Q101" s="97"/>
    </row>
    <row r="102" spans="2:17" ht="15.75" x14ac:dyDescent="0.25">
      <c r="B102" s="98" t="s">
        <v>14</v>
      </c>
      <c r="C102" s="99" t="s">
        <v>234</v>
      </c>
      <c r="D102" s="127">
        <f t="shared" si="46"/>
        <v>15942</v>
      </c>
      <c r="E102" s="172">
        <f t="shared" si="44"/>
        <v>15900</v>
      </c>
      <c r="F102" s="133">
        <f t="shared" si="45"/>
        <v>797100</v>
      </c>
      <c r="G102" s="134">
        <f t="shared" si="47"/>
        <v>878.65306266424454</v>
      </c>
      <c r="H102" s="121">
        <f>IF(G102&gt;K102,(VLOOKUP(B102,'2025 Regression Curves'!$A$5:$H$17,4,FALSE)*K102)/(VLOOKUP(B102,'2025 Regression Curves'!$A$5:$H$17,5,FALSE)+K102),(VLOOKUP(B102,'2025 Regression Curves'!$A$5:$H$17,4,FALSE)*G102)/(VLOOKUP(B102,'2025 Regression Curves'!$A$5:$H$17,5,FALSE)+G102))</f>
        <v>0.16341905539155238</v>
      </c>
      <c r="I102" s="122">
        <f t="shared" si="48"/>
        <v>0.18507254291229036</v>
      </c>
      <c r="J102" s="124"/>
      <c r="K102" s="115">
        <f>VLOOKUP(B102,'2025 Regression Curves'!$A$5:$H$17,6,FALSE)</f>
        <v>2000</v>
      </c>
      <c r="L102" s="124"/>
      <c r="M102" s="124"/>
      <c r="N102" s="124"/>
      <c r="O102" s="97"/>
      <c r="P102" s="97"/>
      <c r="Q102" s="97"/>
    </row>
    <row r="103" spans="2:17" ht="15.75" x14ac:dyDescent="0.25">
      <c r="B103" s="98" t="s">
        <v>15</v>
      </c>
      <c r="C103" s="99" t="s">
        <v>235</v>
      </c>
      <c r="D103" s="127">
        <f t="shared" si="46"/>
        <v>48900</v>
      </c>
      <c r="E103" s="172">
        <f t="shared" si="44"/>
        <v>48900</v>
      </c>
      <c r="F103" s="133">
        <f t="shared" si="45"/>
        <v>2445000</v>
      </c>
      <c r="G103" s="137">
        <f t="shared" si="47"/>
        <v>2695.1533536746679</v>
      </c>
      <c r="H103" s="121">
        <f>IF(G103&gt;K103,(VLOOKUP(B103,'2025 Regression Curves'!$A$5:$H$17,4,FALSE)*K103)/(VLOOKUP(B103,'2025 Regression Curves'!$A$5:$H$17,5,FALSE)+K103),(VLOOKUP(B103,'2025 Regression Curves'!$A$5:$H$17,4,FALSE)*G103)/(VLOOKUP(B103,'2025 Regression Curves'!$A$5:$H$17,5,FALSE)+G103))</f>
        <v>0.13793035588843139</v>
      </c>
      <c r="I103" s="122">
        <f t="shared" si="48"/>
        <v>0.15620651855994494</v>
      </c>
      <c r="J103" s="124"/>
      <c r="K103" s="115">
        <f>VLOOKUP(B103,'2025 Regression Curves'!$A$5:$H$17,6,FALSE)</f>
        <v>2500</v>
      </c>
      <c r="L103" s="124"/>
      <c r="M103" s="124"/>
      <c r="N103" s="124"/>
      <c r="O103" s="97"/>
      <c r="P103" s="97"/>
      <c r="Q103" s="97"/>
    </row>
    <row r="104" spans="2:17" ht="15.75" x14ac:dyDescent="0.25">
      <c r="B104" s="98" t="s">
        <v>16</v>
      </c>
      <c r="C104" s="99" t="s">
        <v>236</v>
      </c>
      <c r="D104" s="127">
        <f t="shared" si="46"/>
        <v>55028.384913853777</v>
      </c>
      <c r="E104" s="172">
        <f t="shared" si="44"/>
        <v>55000</v>
      </c>
      <c r="F104" s="133">
        <f t="shared" si="45"/>
        <v>2751419.245692689</v>
      </c>
      <c r="G104" s="137">
        <f t="shared" si="47"/>
        <v>3032.9230296088654</v>
      </c>
      <c r="H104" s="121">
        <f>IF(G104&gt;K104,(VLOOKUP(B104,'2025 Regression Curves'!$A$5:$H$17,4,FALSE)*K104)/(VLOOKUP(B104,'2025 Regression Curves'!$A$5:$H$17,5,FALSE)+K104),(VLOOKUP(B104,'2025 Regression Curves'!$A$5:$H$17,4,FALSE)*G104)/(VLOOKUP(B104,'2025 Regression Curves'!$A$5:$H$17,5,FALSE)+G104))</f>
        <v>0.146411869984412</v>
      </c>
      <c r="I104" s="122">
        <f t="shared" si="48"/>
        <v>0.1658118572869898</v>
      </c>
      <c r="K104" s="115">
        <f>VLOOKUP(B104,'2025 Regression Curves'!$A$5:$H$17,6,FALSE)</f>
        <v>2000</v>
      </c>
      <c r="L104" s="97"/>
      <c r="M104" s="97"/>
      <c r="N104" s="97"/>
      <c r="O104" s="97"/>
      <c r="P104" s="97"/>
      <c r="Q104" s="97"/>
    </row>
    <row r="105" spans="2:17" ht="15.75" x14ac:dyDescent="0.25">
      <c r="B105" s="102" t="s">
        <v>251</v>
      </c>
      <c r="C105" s="174" t="s">
        <v>255</v>
      </c>
      <c r="D105" s="127">
        <f t="shared" ref="D105" si="49">F105/50</f>
        <v>19200</v>
      </c>
      <c r="E105" s="172">
        <f t="shared" si="44"/>
        <v>19200</v>
      </c>
      <c r="F105" s="133">
        <f t="shared" si="45"/>
        <v>960000</v>
      </c>
      <c r="G105" s="166">
        <f t="shared" ref="G105" si="50">F105/(2000*0.453592)</f>
        <v>1058.2197216882132</v>
      </c>
      <c r="H105" s="121">
        <f>IF(G105&gt;K105,(VLOOKUP(B105,'2025 Regression Curves'!$A$5:$H$17,4,FALSE)*K105)/(VLOOKUP(B105,'2025 Regression Curves'!$A$5:$H$17,5,FALSE)+K105),(VLOOKUP(B105,'2025 Regression Curves'!$A$5:$H$17,4,FALSE)*G105)/(VLOOKUP(B105,'2025 Regression Curves'!$A$5:$H$17,5,FALSE)+G105))</f>
        <v>0.15296111555763403</v>
      </c>
      <c r="I105" s="122">
        <f t="shared" ref="I105" si="51">H105/0.883</f>
        <v>0.17322889644126163</v>
      </c>
      <c r="K105" s="115">
        <f>VLOOKUP(B105,'2025 Regression Curves'!$A$5:$H$17,6,FALSE)</f>
        <v>1500</v>
      </c>
      <c r="L105" s="97"/>
      <c r="M105" s="97"/>
      <c r="N105" s="97"/>
      <c r="O105" s="97"/>
      <c r="P105" s="97"/>
      <c r="Q105" s="97"/>
    </row>
    <row r="106" spans="2:17" x14ac:dyDescent="0.25">
      <c r="E106" s="171" t="s">
        <v>261</v>
      </c>
      <c r="J106" s="93"/>
    </row>
  </sheetData>
  <mergeCells count="3">
    <mergeCell ref="K1:N1"/>
    <mergeCell ref="F1:I1"/>
    <mergeCell ref="F19:I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Instructions</vt:lpstr>
      <vt:lpstr>Inclusion Table</vt:lpstr>
      <vt:lpstr>Release Table</vt:lpstr>
      <vt:lpstr>Inclusion Calculator</vt:lpstr>
      <vt:lpstr>Release Calculator</vt:lpstr>
      <vt:lpstr>Premix Calculator</vt:lpstr>
      <vt:lpstr>Ingredient Phytate P</vt:lpstr>
      <vt:lpstr>'Inclusion Calculator'!Print_Area</vt:lpstr>
      <vt:lpstr>'Inclusion Table'!Print_Area</vt:lpstr>
      <vt:lpstr>'Premix Calculator'!Print_Area</vt:lpstr>
      <vt:lpstr>'Release Calculator'!Print_Area</vt:lpstr>
      <vt:lpstr>'Release 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Mariana Boscato Menegat</dc:creator>
  <cp:keywords/>
  <dc:description/>
  <cp:lastModifiedBy>Jordan Gebhardt</cp:lastModifiedBy>
  <cp:revision/>
  <cp:lastPrinted>2026-08-05T14:04:51Z</cp:lastPrinted>
  <dcterms:created xsi:type="dcterms:W3CDTF">2018-10-16T16:16:17Z</dcterms:created>
  <dcterms:modified xsi:type="dcterms:W3CDTF">2026-08-05T14:11:15Z</dcterms:modified>
  <cp:category/>
  <cp:contentStatus/>
</cp:coreProperties>
</file>